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20115" windowHeight="7275" firstSheet="1" activeTab="2"/>
  </bookViews>
  <sheets>
    <sheet name="COTAÇÕES DE MERCADO" sheetId="1" r:id="rId1"/>
    <sheet name="MEMÓRIA DESONERADA" sheetId="2" r:id="rId2"/>
    <sheet name=" PLANILHA DESONERADA" sheetId="3" r:id="rId3"/>
    <sheet name="Cronograma " sheetId="4" r:id="rId4"/>
  </sheets>
  <externalReferences>
    <externalReference r:id="rId7"/>
    <externalReference r:id="rId8"/>
  </externalReferences>
  <definedNames>
    <definedName name="__shared_1_0_0">#REF!*#REF!</definedName>
    <definedName name="__shared_1_1_0">#REF!*#REF!</definedName>
    <definedName name="__shared_1_2_0">#REF!*#REF!</definedName>
    <definedName name="__shared_1_3_0">#REF!*#REF!</definedName>
    <definedName name="__shared_1_3_1">#REF!*#REF!</definedName>
    <definedName name="__shared_1_4_0">#REF!*#REF!</definedName>
    <definedName name="__shared_1_5_0">#REF!*#REF!</definedName>
    <definedName name="__shared_2_0_0">#REF!*#REF!</definedName>
    <definedName name="__shared_3_0_0">SUM(#REF!)</definedName>
    <definedName name="EXTRACT" localSheetId="3">'Cronograma '!#REF!</definedName>
    <definedName name="_xlnm.Print_Area" localSheetId="2">' PLANILHA DESONERADA'!$A$1:$I$189</definedName>
    <definedName name="_xlnm.Print_Area" localSheetId="0">'COTAÇÕES DE MERCADO'!$A$1:$G$30</definedName>
    <definedName name="_xlnm.Print_Area" localSheetId="3">'Cronograma '!$A$1:$O$27</definedName>
    <definedName name="_xlnm.Print_Area" localSheetId="1">'MEMÓRIA DESONERADA'!$A$1:$G$1244</definedName>
    <definedName name="BDI" localSheetId="2">#REF!</definedName>
    <definedName name="BDI" localSheetId="0">#REF!</definedName>
    <definedName name="BDI" localSheetId="3">#REF!</definedName>
    <definedName name="BDI" localSheetId="1">#REF!</definedName>
    <definedName name="BDI">#REF!</definedName>
    <definedName name="CRITERIA" localSheetId="3">'Cronograma '!#REF!</definedName>
    <definedName name="cronog">#REF!</definedName>
    <definedName name="MEM_A">#REF!</definedName>
    <definedName name="MEN_B">#REF!</definedName>
    <definedName name="OnerADO">#REF!</definedName>
    <definedName name="ORÇ_A">#REF!</definedName>
    <definedName name="ORÇ_B">#REF!</definedName>
    <definedName name="ORÇ_D">#REF!</definedName>
    <definedName name="ORÇAMENTO.CustoUnitario" hidden="1">ROUND(' PLANILHA DESONERADA'!$T1,15-13*' PLANILHA DESONERADA'!$AE$8)</definedName>
    <definedName name="ORÇAMENTO.PrecoUnitarioLicitado" hidden="1">' PLANILHA DESONERADA'!$AK1</definedName>
    <definedName name="orcb">#REF!</definedName>
    <definedName name="TIPOORCAMENTO" hidden="1">IF(VALUE('[2]MENU'!$O$3)=2,"Licitado","Proposto")</definedName>
    <definedName name="_xlnm.Print_Titles" localSheetId="2">' PLANILHA DESONERADA'!$1:$11</definedName>
    <definedName name="_xlnm.Print_Titles" localSheetId="0">'COTAÇÕES DE MERCADO'!$1:$2</definedName>
    <definedName name="_xlnm.Print_Titles" localSheetId="3">'Cronograma '!$10:$12</definedName>
    <definedName name="_xlnm.Print_Titles" localSheetId="1">'MEMÓRIA DESONERADA'!$9:$11</definedName>
  </definedNames>
  <calcPr fullCalcOnLoad="1"/>
</workbook>
</file>

<file path=xl/sharedStrings.xml><?xml version="1.0" encoding="utf-8"?>
<sst xmlns="http://schemas.openxmlformats.org/spreadsheetml/2006/main" count="4418" uniqueCount="1540">
  <si>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</si>
  <si>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</si>
  <si>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</si>
  <si>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</si>
  <si>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</si>
  <si>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</si>
  <si>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</si>
  <si>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</si>
  <si>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</si>
  <si>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</si>
  <si>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</si>
  <si>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</si>
  <si>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1.5</t>
  </si>
  <si>
    <t>1.6</t>
  </si>
  <si>
    <t>UN</t>
  </si>
  <si>
    <t>4.1</t>
  </si>
  <si>
    <t>4.2</t>
  </si>
  <si>
    <t>00149</t>
  </si>
  <si>
    <t>L</t>
  </si>
  <si>
    <t>00001</t>
  </si>
  <si>
    <t>4.3</t>
  </si>
  <si>
    <t>00115</t>
  </si>
  <si>
    <t>02341</t>
  </si>
  <si>
    <t>05269</t>
  </si>
  <si>
    <t>02370</t>
  </si>
  <si>
    <t>00004</t>
  </si>
  <si>
    <t>00349</t>
  </si>
  <si>
    <t>Fornecimento e instalação de rede de nylon para futebol de salão, inclusive materiais, mão-de-obra e equipamentos.</t>
  </si>
  <si>
    <t>par</t>
  </si>
  <si>
    <t>PAR</t>
  </si>
  <si>
    <t>05332</t>
  </si>
  <si>
    <t>un</t>
  </si>
  <si>
    <t>1.0</t>
  </si>
  <si>
    <t>SERVIÇOS PRELIMINARES</t>
  </si>
  <si>
    <t>2.0</t>
  </si>
  <si>
    <t>3.0</t>
  </si>
  <si>
    <t>4.0</t>
  </si>
  <si>
    <t>5.0</t>
  </si>
  <si>
    <t>INSTALAÇÕES ELÉTRICAS</t>
  </si>
  <si>
    <t>6.0</t>
  </si>
  <si>
    <t>7.0</t>
  </si>
  <si>
    <t>PINTURA</t>
  </si>
  <si>
    <t>9.0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</si>
  <si>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</si>
  <si>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</si>
  <si>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</si>
  <si>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</si>
  <si>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</si>
  <si>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CODIGO EMOP/ SINAPI</t>
  </si>
  <si>
    <t>DISCRIMINAÇÃO</t>
  </si>
  <si>
    <t>QUANT.</t>
  </si>
  <si>
    <t>PREÇOS (R$)</t>
  </si>
  <si>
    <t>UNIT</t>
  </si>
  <si>
    <t>ORÇAMENTO: Engº Alfredo A N M Cunha</t>
  </si>
  <si>
    <t>Orçamentista: Eng. Alfredo Antonio Nicolau M. Cunha</t>
  </si>
  <si>
    <t xml:space="preserve">CRONOGRAMA  FÍSICO-FINANCEIRO </t>
  </si>
  <si>
    <t>DESCRIÇÃO</t>
  </si>
  <si>
    <t>PERÍODO</t>
  </si>
  <si>
    <t>30 DIAS</t>
  </si>
  <si>
    <t>60 DIAS</t>
  </si>
  <si>
    <t>90 DIAS</t>
  </si>
  <si>
    <t>120 DIAS</t>
  </si>
  <si>
    <t>TOTAL DOS</t>
  </si>
  <si>
    <t>FÍSICO</t>
  </si>
  <si>
    <t>FINANCEIRO</t>
  </si>
  <si>
    <t>SERVIÇOS</t>
  </si>
  <si>
    <t>TRANSPORTE E BOTA-FORA</t>
  </si>
  <si>
    <t>TOTAL DA OBRA POR MEDIÇÃO</t>
  </si>
  <si>
    <t>TOTAL ACUMULADO DA OBRA</t>
  </si>
  <si>
    <t>Desembolso parcial por medição %</t>
  </si>
  <si>
    <t>Desembolso máximo acumulado %</t>
  </si>
  <si>
    <t>8.0</t>
  </si>
  <si>
    <t>00252</t>
  </si>
  <si>
    <t>00510</t>
  </si>
  <si>
    <t>00600</t>
  </si>
  <si>
    <t>02315</t>
  </si>
  <si>
    <t>02316</t>
  </si>
  <si>
    <t>02317</t>
  </si>
  <si>
    <t>02472</t>
  </si>
  <si>
    <t>02884</t>
  </si>
  <si>
    <t>04915</t>
  </si>
  <si>
    <t>05914</t>
  </si>
  <si>
    <t>08000</t>
  </si>
  <si>
    <t>00148</t>
  </si>
  <si>
    <t>00559</t>
  </si>
  <si>
    <t>00688</t>
  </si>
  <si>
    <t>00702</t>
  </si>
  <si>
    <t>00788</t>
  </si>
  <si>
    <t>00843</t>
  </si>
  <si>
    <t>00872</t>
  </si>
  <si>
    <t>04210</t>
  </si>
  <si>
    <t>00173</t>
  </si>
  <si>
    <t>10905</t>
  </si>
  <si>
    <t>14543</t>
  </si>
  <si>
    <t>T</t>
  </si>
  <si>
    <t>00289</t>
  </si>
  <si>
    <t>00456</t>
  </si>
  <si>
    <t>02344</t>
  </si>
  <si>
    <t>02639</t>
  </si>
  <si>
    <t>03887</t>
  </si>
  <si>
    <t>03968</t>
  </si>
  <si>
    <t>03970</t>
  </si>
  <si>
    <t>03977</t>
  </si>
  <si>
    <t>04268</t>
  </si>
  <si>
    <t>05994</t>
  </si>
  <si>
    <t>08026</t>
  </si>
  <si>
    <t>11922</t>
  </si>
  <si>
    <t>11924</t>
  </si>
  <si>
    <t>11925</t>
  </si>
  <si>
    <t>11930</t>
  </si>
  <si>
    <t>T X KM</t>
  </si>
  <si>
    <t>05710</t>
  </si>
  <si>
    <t>02343</t>
  </si>
  <si>
    <t>GL</t>
  </si>
  <si>
    <t>00124</t>
  </si>
  <si>
    <t>CTR</t>
  </si>
  <si>
    <t>ENCARGOS SOCIAIS DESONERADOS: 90,79%(HORA)   51,52%(MÊS)</t>
  </si>
  <si>
    <t>PROJETO: Arqtª Lélia Magda</t>
  </si>
  <si>
    <t>LEVANTAMENTO:  Arqtª Lélia Magda</t>
  </si>
  <si>
    <t>SI000088316</t>
  </si>
  <si>
    <t>SERVENTE COM ENCARGOS COMPLEMENTARES</t>
  </si>
  <si>
    <t>SI000088309</t>
  </si>
  <si>
    <t>00350</t>
  </si>
  <si>
    <t>ESTRUTURA DE CONCRETO ARMADO</t>
  </si>
  <si>
    <t>05350</t>
  </si>
  <si>
    <t>00150</t>
  </si>
  <si>
    <t>SI74244/001</t>
  </si>
  <si>
    <t>07696</t>
  </si>
  <si>
    <t>07167</t>
  </si>
  <si>
    <t>00335</t>
  </si>
  <si>
    <t>00333</t>
  </si>
  <si>
    <t>SI000088315</t>
  </si>
  <si>
    <t>07158</t>
  </si>
  <si>
    <t>SI74244/001 ALTERADO</t>
  </si>
  <si>
    <t>11243</t>
  </si>
  <si>
    <t>00011</t>
  </si>
  <si>
    <t>11794</t>
  </si>
  <si>
    <t>4.4</t>
  </si>
  <si>
    <t>4.5</t>
  </si>
  <si>
    <t>00560</t>
  </si>
  <si>
    <t>4.6</t>
  </si>
  <si>
    <t>SI000090281</t>
  </si>
  <si>
    <t>CHI</t>
  </si>
  <si>
    <t>CHP</t>
  </si>
  <si>
    <t>11242</t>
  </si>
  <si>
    <t>7.1</t>
  </si>
  <si>
    <t>7.2</t>
  </si>
  <si>
    <t>7.3</t>
  </si>
  <si>
    <t>05938</t>
  </si>
  <si>
    <t>00294</t>
  </si>
  <si>
    <t>00160</t>
  </si>
  <si>
    <t>X</t>
  </si>
  <si>
    <t>So000088264</t>
  </si>
  <si>
    <t>MULTIPLA</t>
  </si>
  <si>
    <t>ADOTADO CUSTO EMOP</t>
  </si>
  <si>
    <t>02.015.0001-0</t>
  </si>
  <si>
    <t>05.001.0147-0</t>
  </si>
  <si>
    <t>1.7</t>
  </si>
  <si>
    <t>1.8</t>
  </si>
  <si>
    <t>1.9</t>
  </si>
  <si>
    <t>1.10</t>
  </si>
  <si>
    <t>1.11</t>
  </si>
  <si>
    <t>x</t>
  </si>
  <si>
    <t>05.002.0001-0</t>
  </si>
  <si>
    <t>ADOTADO PREÇO EMOP</t>
  </si>
  <si>
    <t>1.12</t>
  </si>
  <si>
    <t>05.001.0070-0</t>
  </si>
  <si>
    <t>1.13</t>
  </si>
  <si>
    <t>05.001.0142-0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</si>
  <si>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</si>
  <si>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</si>
  <si>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</si>
  <si>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</si>
  <si>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</si>
  <si>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</si>
  <si>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</si>
  <si>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</si>
  <si>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</si>
  <si>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</si>
  <si>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</si>
  <si>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</si>
  <si>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</si>
  <si>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</si>
  <si>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</si>
  <si>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</si>
  <si>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</si>
  <si>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00039</t>
  </si>
  <si>
    <t>00031</t>
  </si>
  <si>
    <t>2.16</t>
  </si>
  <si>
    <t>PILARES - 30MPa</t>
  </si>
  <si>
    <t>2.17</t>
  </si>
  <si>
    <t>2.18</t>
  </si>
  <si>
    <t>2.19</t>
  </si>
  <si>
    <t>2.20</t>
  </si>
  <si>
    <t>2.21</t>
  </si>
  <si>
    <t>2.22</t>
  </si>
  <si>
    <t>2.23</t>
  </si>
  <si>
    <t>VIGAS - 30MPa</t>
  </si>
  <si>
    <t>2.24</t>
  </si>
  <si>
    <t>2.25</t>
  </si>
  <si>
    <t>2.26</t>
  </si>
  <si>
    <t>2.27</t>
  </si>
  <si>
    <t>MURO DE FLEXÃO - 30MPa</t>
  </si>
  <si>
    <t>2.28</t>
  </si>
  <si>
    <t>05204</t>
  </si>
  <si>
    <t>02523</t>
  </si>
  <si>
    <t>2.29</t>
  </si>
  <si>
    <t>2.30</t>
  </si>
  <si>
    <t>2.31</t>
  </si>
  <si>
    <t>06214</t>
  </si>
  <si>
    <t>06213</t>
  </si>
  <si>
    <t>06212</t>
  </si>
  <si>
    <t>2.32</t>
  </si>
  <si>
    <t>06217</t>
  </si>
  <si>
    <t>06216</t>
  </si>
  <si>
    <t>06215</t>
  </si>
  <si>
    <t>2.33</t>
  </si>
  <si>
    <t>2.34</t>
  </si>
  <si>
    <t>2.35</t>
  </si>
  <si>
    <t>2.36</t>
  </si>
  <si>
    <t>2.37</t>
  </si>
  <si>
    <t>2.38</t>
  </si>
  <si>
    <t>03.010.0035-6</t>
  </si>
  <si>
    <t>2.39</t>
  </si>
  <si>
    <t>2.40</t>
  </si>
  <si>
    <t>2.41</t>
  </si>
  <si>
    <t>07939</t>
  </si>
  <si>
    <t>02617</t>
  </si>
  <si>
    <t>2.42</t>
  </si>
  <si>
    <t>2.43</t>
  </si>
  <si>
    <t>2.44</t>
  </si>
  <si>
    <t>2.45</t>
  </si>
  <si>
    <t>00855</t>
  </si>
  <si>
    <t>2.46</t>
  </si>
  <si>
    <t>2.47</t>
  </si>
  <si>
    <t>07942</t>
  </si>
  <si>
    <t>05845</t>
  </si>
  <si>
    <t>2.48</t>
  </si>
  <si>
    <t>00555</t>
  </si>
  <si>
    <t>00230</t>
  </si>
  <si>
    <t>00030</t>
  </si>
  <si>
    <t>2.49</t>
  </si>
  <si>
    <t>2.50</t>
  </si>
  <si>
    <t>05119</t>
  </si>
  <si>
    <t>05041</t>
  </si>
  <si>
    <t>2.51</t>
  </si>
  <si>
    <t>2.52</t>
  </si>
  <si>
    <t>10647</t>
  </si>
  <si>
    <t>2.53</t>
  </si>
  <si>
    <t>2.54</t>
  </si>
  <si>
    <t>TOTAL 2.0</t>
  </si>
  <si>
    <t>2.55</t>
  </si>
  <si>
    <t>2.56</t>
  </si>
  <si>
    <t>2.57</t>
  </si>
  <si>
    <t>01373</t>
  </si>
  <si>
    <t>considerado a  mesma área de preenchimento - 1x5cm = 2x2,5cm. Alterado apenas o descritivo do item</t>
  </si>
  <si>
    <t>2.58</t>
  </si>
  <si>
    <t>3.1</t>
  </si>
  <si>
    <t>3.2</t>
  </si>
  <si>
    <t>3.3</t>
  </si>
  <si>
    <t>3.4</t>
  </si>
  <si>
    <t>3.5</t>
  </si>
  <si>
    <t>3.6</t>
  </si>
  <si>
    <t>m²</t>
  </si>
  <si>
    <t>TOTAL 3.0</t>
  </si>
  <si>
    <t>TOTAL 1.0</t>
  </si>
  <si>
    <t>05.001.0138-0</t>
  </si>
  <si>
    <t>4.7</t>
  </si>
  <si>
    <t>4.8</t>
  </si>
  <si>
    <t>UNID</t>
  </si>
  <si>
    <t>TOTAL 4.0</t>
  </si>
  <si>
    <t>5.1</t>
  </si>
  <si>
    <t>5.2</t>
  </si>
  <si>
    <t>02368</t>
  </si>
  <si>
    <t>5.3</t>
  </si>
  <si>
    <t>11473</t>
  </si>
  <si>
    <t>5.4</t>
  </si>
  <si>
    <t>Fornecimento e instalação de luminária externa  de led 150w para encaixe nos postes de 9,00m.</t>
  </si>
  <si>
    <t>A</t>
  </si>
  <si>
    <t>B</t>
  </si>
  <si>
    <t>5.5</t>
  </si>
  <si>
    <t>07258</t>
  </si>
  <si>
    <t>04722</t>
  </si>
  <si>
    <t>04721</t>
  </si>
  <si>
    <t>01379</t>
  </si>
  <si>
    <t>01358</t>
  </si>
  <si>
    <t>01106</t>
  </si>
  <si>
    <t>00370</t>
  </si>
  <si>
    <t>5.6</t>
  </si>
  <si>
    <t>utilizado preço emop</t>
  </si>
  <si>
    <t>5.7</t>
  </si>
  <si>
    <t>5.8</t>
  </si>
  <si>
    <t>74157/4</t>
  </si>
  <si>
    <t>5.9</t>
  </si>
  <si>
    <t>Fornecimento e colocação de base simples, para topo de poste, em aço galvanizado, para fixação de 1 luminária.</t>
  </si>
  <si>
    <t>11701</t>
  </si>
  <si>
    <t>5.10</t>
  </si>
  <si>
    <t>So000088247</t>
  </si>
  <si>
    <t>5.11</t>
  </si>
  <si>
    <t>5.12</t>
  </si>
  <si>
    <t>5.13</t>
  </si>
  <si>
    <t>So000093661</t>
  </si>
  <si>
    <t>So34616</t>
  </si>
  <si>
    <t>So01570</t>
  </si>
  <si>
    <t>5.14</t>
  </si>
  <si>
    <t>5.15</t>
  </si>
  <si>
    <t>5.16</t>
  </si>
  <si>
    <t>5.17</t>
  </si>
  <si>
    <t>5.18</t>
  </si>
  <si>
    <t>05708</t>
  </si>
  <si>
    <t>5.19</t>
  </si>
  <si>
    <t>5.20</t>
  </si>
  <si>
    <t>5.21</t>
  </si>
  <si>
    <t>TOTAL 5.0</t>
  </si>
  <si>
    <t>6.1</t>
  </si>
  <si>
    <t>6.2</t>
  </si>
  <si>
    <t>6.3</t>
  </si>
  <si>
    <t>07425</t>
  </si>
  <si>
    <t>00840</t>
  </si>
  <si>
    <t>6.4</t>
  </si>
  <si>
    <t>6.5</t>
  </si>
  <si>
    <t>TOTAL 6.0</t>
  </si>
  <si>
    <t>05331</t>
  </si>
  <si>
    <t>7.4</t>
  </si>
  <si>
    <t>06211</t>
  </si>
  <si>
    <t>TOTAL 7.0</t>
  </si>
  <si>
    <t>8.1</t>
  </si>
  <si>
    <t>8.2</t>
  </si>
  <si>
    <t>8.3</t>
  </si>
  <si>
    <t>8.4</t>
  </si>
  <si>
    <t>TOTAL 8.0</t>
  </si>
  <si>
    <t>9.1</t>
  </si>
  <si>
    <t>9.2</t>
  </si>
  <si>
    <t>9.3</t>
  </si>
  <si>
    <t>9.4</t>
  </si>
  <si>
    <t>TOTAL 9.0</t>
  </si>
  <si>
    <t>TXKM</t>
  </si>
  <si>
    <t>9.5</t>
  </si>
  <si>
    <t>TOTAL GERAL=</t>
  </si>
  <si>
    <t>APROVAÇÃO: Eng. Eros dos Santos</t>
  </si>
  <si>
    <t>Local: Rua São João Batista, 135 , Agua Comprida , Barra Mansa</t>
  </si>
  <si>
    <t>05268</t>
  </si>
  <si>
    <t>05.001.0146-0</t>
  </si>
  <si>
    <t>06129</t>
  </si>
  <si>
    <t>06128</t>
  </si>
  <si>
    <t>02.004.0007-0</t>
  </si>
  <si>
    <t>02563</t>
  </si>
  <si>
    <t>02339</t>
  </si>
  <si>
    <t>02624</t>
  </si>
  <si>
    <t>02562</t>
  </si>
  <si>
    <t>00798</t>
  </si>
  <si>
    <t>02614</t>
  </si>
  <si>
    <t>02618</t>
  </si>
  <si>
    <t>02623</t>
  </si>
  <si>
    <t>02502</t>
  </si>
  <si>
    <t>00701</t>
  </si>
  <si>
    <t>01361</t>
  </si>
  <si>
    <t>00666</t>
  </si>
  <si>
    <t>00986</t>
  </si>
  <si>
    <t>00703</t>
  </si>
  <si>
    <t>00760</t>
  </si>
  <si>
    <t>00762</t>
  </si>
  <si>
    <t>02616</t>
  </si>
  <si>
    <t>00665</t>
  </si>
  <si>
    <t>05953</t>
  </si>
  <si>
    <t>02564</t>
  </si>
  <si>
    <t>03961</t>
  </si>
  <si>
    <t>03963</t>
  </si>
  <si>
    <t>04307</t>
  </si>
  <si>
    <t>04745</t>
  </si>
  <si>
    <t>02625</t>
  </si>
  <si>
    <t>05085</t>
  </si>
  <si>
    <t>07020</t>
  </si>
  <si>
    <t>05270</t>
  </si>
  <si>
    <t>05468</t>
  </si>
  <si>
    <t>05555</t>
  </si>
  <si>
    <t>05660</t>
  </si>
  <si>
    <t>05906</t>
  </si>
  <si>
    <t>03926</t>
  </si>
  <si>
    <t>02629</t>
  </si>
  <si>
    <t>02635</t>
  </si>
  <si>
    <t>02648</t>
  </si>
  <si>
    <t>02653</t>
  </si>
  <si>
    <t>02655</t>
  </si>
  <si>
    <t>02669</t>
  </si>
  <si>
    <t>02672</t>
  </si>
  <si>
    <t>03902</t>
  </si>
  <si>
    <t>03944</t>
  </si>
  <si>
    <t>03954</t>
  </si>
  <si>
    <t>03960</t>
  </si>
  <si>
    <t>02984</t>
  </si>
  <si>
    <t>M3XKM</t>
  </si>
  <si>
    <t>04.014.0118-5</t>
  </si>
  <si>
    <t>9.6</t>
  </si>
  <si>
    <t>12.007.0020-6</t>
  </si>
  <si>
    <t>00013</t>
  </si>
  <si>
    <t>12.007.0020-0</t>
  </si>
  <si>
    <t>00278</t>
  </si>
  <si>
    <t>FUNDAÇÃO (TRADOS)</t>
  </si>
  <si>
    <t>Junta de retração, serrada com disco de diamante, para pavimentos de placas de concreto, com 5cm de profundidade, formando quadros de aproximadamente 2,00m x 2,00m.</t>
  </si>
  <si>
    <t>2.59</t>
  </si>
  <si>
    <t>CÓDIGO</t>
  </si>
  <si>
    <t>DESCRIÇÃO DO SERVIÇO OU FORNECIMENTO</t>
  </si>
  <si>
    <t>UNIDADE</t>
  </si>
  <si>
    <t xml:space="preserve">DATA BASE </t>
  </si>
  <si>
    <t>PREÇO REFERENCIAL</t>
  </si>
  <si>
    <t>CNPJ</t>
  </si>
  <si>
    <t>NOME DA EMPRESA FORNECEDORA</t>
  </si>
  <si>
    <t>TELEFONE</t>
  </si>
  <si>
    <t>CONTATO</t>
  </si>
  <si>
    <t>DATA COTAÇÃO</t>
  </si>
  <si>
    <t>PREÇO COTADO</t>
  </si>
  <si>
    <t>10.777.166/0001-72</t>
  </si>
  <si>
    <t>MOSAICOS AMAZONAS</t>
  </si>
  <si>
    <t>(11)2016-8329</t>
  </si>
  <si>
    <t>CÁSSIO</t>
  </si>
  <si>
    <t>PREÇO MÉDIO</t>
  </si>
  <si>
    <t>mercado</t>
  </si>
  <si>
    <t xml:space="preserve"> SINAPI 40520</t>
  </si>
  <si>
    <t>05469</t>
  </si>
  <si>
    <t>a</t>
  </si>
  <si>
    <t>b</t>
  </si>
  <si>
    <t>c</t>
  </si>
  <si>
    <t>00996</t>
  </si>
  <si>
    <t>C</t>
  </si>
  <si>
    <t>4.9</t>
  </si>
  <si>
    <t>11964</t>
  </si>
  <si>
    <t>13572</t>
  </si>
  <si>
    <t>13577</t>
  </si>
  <si>
    <t>00724</t>
  </si>
  <si>
    <t>KWH</t>
  </si>
  <si>
    <t>8.5</t>
  </si>
  <si>
    <t>m³</t>
  </si>
  <si>
    <t>8.6</t>
  </si>
  <si>
    <t>Arrancamento de tela do alambrado existente.</t>
  </si>
  <si>
    <t>Limpeza de superficies com jato de alta pressao de ar e agua</t>
  </si>
  <si>
    <t>Lavadora de alta pressao (lava-jato) para agua fria, pressao de operacao entre 1400 e 1900 lib/pol2, vazao maxima entre  400 e 700 l/h</t>
  </si>
  <si>
    <t>Escavação mecanizada para viga baldrame, com previsão de fôrma, com mini-escavadeira. Af_06/2017</t>
  </si>
  <si>
    <t>Fabricação, montagem e desmontagem de fôrma para viga baldrame, em madeira serrada, e=25 mm, 1 utilização. Af_06/2017</t>
  </si>
  <si>
    <t>Lastro de concreto magro, aplicado em pisos ou radiers, espessura de 5 cm. Af_07/2016</t>
  </si>
  <si>
    <t>Armação de bloco, viga baldrame e sapata utilizando aço ca-60 de 5 mm - montagem. Af_06/2017</t>
  </si>
  <si>
    <t>Armação de bloco, viga baldrame ou sapata utilizando aço ca-50 de 12,5 mm - montagem. Af_06/2017</t>
  </si>
  <si>
    <t>Fabricação de fôrma para pilares e estruturas similares, em madeira serrada, e=25 mm. Af_12/2015</t>
  </si>
  <si>
    <t>Concretagem de pilares, fck = 30 mpa, com uso de bomba em edificação com seção média de pilares maior que 0,25 m² - lançamento, adensamento e acabamento. Af_12/2015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</si>
  <si>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</si>
  <si>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10,0 mm - montagem. Af_12/2015</t>
  </si>
  <si>
    <t>Fabricação de fôrma para vigas, com madeira serrada, e = 25 mm. Af_12/2015</t>
  </si>
  <si>
    <t>Concreto para camadas preparatorias com 180kg de cimento por m3 de concreto,inclusive materiais,transporte,producao,lanc amento e adensamento (obs.:5%-perdas).</t>
  </si>
  <si>
    <t>Concreto bombeado,fck=30mpa,compreendendo o fornecimento de concreto importado de usina,colocacao nas formas,espalhament o,adensamento mecanico e acabamento (obs.:3%-desgaste de ferramentas e epi).</t>
  </si>
  <si>
    <t>Corte,dobragem,montagem e colocacao de ferragens nas formas,aco ca-50,em barras redondas,com diametro de 8 a 12,5mm (obs.:3%-desgaste de ferramentas e epi).</t>
  </si>
  <si>
    <t>Escavacao mecanica de vala nao escorada em material de 1¦categoria com pedras,instalacoes prediais ou outros redutores d e produtividade ou cavas de fundacao,ate 1,50m de profundidade,utilizando retro-escavadeira,exclusive esgotamento</t>
  </si>
  <si>
    <t>Escavacao mecanica para acerto de taludes, em material de 1a categoria, com escavadeira hidraulica</t>
  </si>
  <si>
    <t>Compactacao de aterro,em camadas de 30cm,utilizando compactador pneumatico(sapo),inclusive compressor (obs.:3%-desgaste de ferramentas e epi).</t>
  </si>
  <si>
    <t>Impermeabilizacao de estruturas enterradas, com tinta asfaltica, duas demaos.</t>
  </si>
  <si>
    <t>Camada vertical drenante feita com pedra britada, inclusive fornecimento do material</t>
  </si>
  <si>
    <t>Grelha e caixilho de concreto armado,sendo as dimensoes externas de 0,30x0,90m(grelha) e 1,00x0,40m(caixilho),para caixa de ralo,utilizando argamassa de cimento e areia,no traco 1:4.fornecimento e colocacao</t>
  </si>
  <si>
    <t>Piso de concreto armado ( quadra e pátio descoberto)</t>
  </si>
  <si>
    <t>Concretagem de radier, piso ou laje sobre solo, fck 30 mpa, para espessura de 10 cm - lançamento, adensamento e acabamento. Af_09/2017</t>
  </si>
  <si>
    <t>Armacao em tela de aco soldada nervurada q-92, aco ca-60, 4,2mm, malha 15x15cm</t>
  </si>
  <si>
    <t xml:space="preserve">Junta impermeabilizante de hidroasfalto,cimento e areia,no traco 1:1:3 com 1 x 5 cm </t>
  </si>
  <si>
    <t>Alvenaria e revestimentos</t>
  </si>
  <si>
    <t>Ladrilho hidraulico tratado 36 dados (30x30)cm, na cor cinza</t>
  </si>
  <si>
    <t>Revestimento de piso com ceramica tatil direcional,(ladrilho hidraulico),para pessoas com necessidades especificas,assen tes sobre superficie em osso,conforme item 13.330.0010 (obs.:3%-desgaste de ferramentas e epi).</t>
  </si>
  <si>
    <t>Piso ceramico tatil alerta ou direcional, amarelo,para portadores de necessidades especificas</t>
  </si>
  <si>
    <t>Revestimento externo,de uma vez,com argamassa de cimento,saibro macio e areia fina,no traco 1:3:3,com espessura de 2,5cm ,inclusive chapisco de cimento e areia,no traco 1:3 (obs.:3%-desgaste de ferramentas e epi).</t>
  </si>
  <si>
    <t>Graute fgk=30 mpa; traço 1:0,02:0,8:1,1 (cimento/ cal/ areia grossa/ brita 0) - preparo mecânico com betoneira 400 l. Af_02/2015</t>
  </si>
  <si>
    <t>Parede de blocos vazados(cobogo),de cimento e areia,com peso de 9,6kg,39x39x7cm,assentes como em 12.006.0010 (obs.:3%-desgaste de ferramentas e epi).</t>
  </si>
  <si>
    <t>Alambrado / esquadrias</t>
  </si>
  <si>
    <t>Alambrado para quadra poliesportiva, estruturado por tubos de aco galvanizado, com costura, din 2440, diametro 2", com tela de arame galvanizado, fio 14 bwg e malha quadrada 5x5cm</t>
  </si>
  <si>
    <t>Complementação  de alambrado com tubos de ferro galvanizado(extern.e internamente),c/diametro interno de 2" e espessura de parede de 1/8".fornecimento e colocacao</t>
  </si>
  <si>
    <t>Somente alterado o texto do item.</t>
  </si>
  <si>
    <t>Cadeado de 50mm,c/dupla trava,disco de seguranca anti-gazua,corpo de latao macico,cilindro de latao trefilado.fornecimen to</t>
  </si>
  <si>
    <t>Fecho de haste redonda,em ferro,para pintar,com 20cm.fornecimento</t>
  </si>
  <si>
    <t>Parafuso de aco tipo chumbador parabolt, diametro 3/8", comprimento 75 mm</t>
  </si>
  <si>
    <t>Chapa de aco carbono 3/8 (coloc/ uso/ retir) p/ pass veiculo sobre vala medida p/ area chapa em cada aplicacao</t>
  </si>
  <si>
    <t>Furacao em concreto com furadeira manual e broca de widia de diametro ate 1/2" (obs.:3%-desgaste de ferramentas e epi).</t>
  </si>
  <si>
    <t>Instalações elétricas</t>
  </si>
  <si>
    <t>Chumbador de aço para fixação de poste de aco reto ou curvo 7 a 9m com flange - fornecimento e instalacao</t>
  </si>
  <si>
    <t>Fornecimento da luminária de led 150w</t>
  </si>
  <si>
    <t>Caixa de passagem 30x30x40 com tampa e dreno brita</t>
  </si>
  <si>
    <t>Escavação manual de vala com profundidade menor ou igual a 1,30 m. Af_03/2016</t>
  </si>
  <si>
    <t>Lancamento/aplicacao manual de concreto em fundacoes</t>
  </si>
  <si>
    <t>Pintura</t>
  </si>
  <si>
    <t>Mobiliário</t>
  </si>
  <si>
    <t>Fornecimento e assentamento de guia (meio-fio) em trecho reto, confeccionada em concreto pré-fabricado, dimensões 100x15x13x30 cm (comprimento x base inferior x base superior x altura), para vias urbanas (uso viário). Af_06/2016</t>
  </si>
  <si>
    <t>Armacao em tela de aco soldada nervurada, ca-60,  q-196, (3,11 kg/m2), diametro do fio = 5,0 mm, largura =  2,45 m, espacamento da malha = 10 x 10 cm</t>
  </si>
  <si>
    <t>Armacao em tela de aco soldada nervurada q-138, aco ca-60, 4,2mm, malha 10x10cm</t>
  </si>
  <si>
    <t>Transporte e bota-fora</t>
  </si>
  <si>
    <t>Carga manual de entulho em caminhao basculante 6 m3</t>
  </si>
  <si>
    <t>Carga e descarga mecanizadas de entulho em caminhao basculante 6 m3</t>
  </si>
  <si>
    <t>Transporte com caminhão basculante de 6 m3, em via urbana pavimentada, dmt até 30 km (unidade: m3xkm). Af_01/2018</t>
  </si>
  <si>
    <t>Descarga de materiais e residuos originarios da construcao civil(rcc),classe c (nao reutilizaveis),em locais de disposic ao final autorizados e/ou licenciados a operar pelos orgaosde controle ambiental</t>
  </si>
  <si>
    <t>Tarifa de vazamento de residuos originarios da construcao civil, classe c (resolucao 307 da conama)</t>
  </si>
  <si>
    <t>Carga, manobras e descarga de materiais diversos, com caminhao carroceria 9t (carga e descarga manuais)</t>
  </si>
  <si>
    <t>Transporte comercial com caminhao carroceria 9 t, rodovia pavimentada</t>
  </si>
  <si>
    <t>Fornecimento e colocação de placa de obra em chapa de aco galvanizado inclusive pintura e suportes de madeira</t>
  </si>
  <si>
    <t>Barracao obra com paredes chapas mad.comp.plastif.lisa,colagem fenolica,prova d'agua,2,44x1,22m,9mm esp.piso/estrut.mad.3ª ,cobert.telhas onduladas 6mm fibrocimento,exclusive pintura e ligações provisórias,inclusive inst.aparelhos,esquadrias e ferrag.proj.2005,escrit.sanitarios,depositos e torre c/caixa d'agua 1000l,reaproveitado 5 vezes,c/alojamento conf.proj.2008,acima solo 2,50m.</t>
  </si>
  <si>
    <t>Instalacao e ligacao provisoria para abastecimento de agua e esgotamento sanitario em canteiro de obras,inclusive escavação,exclusive reposicao da pavimentacao do logradouro publico</t>
  </si>
  <si>
    <t>Arrancamento de portoes existentes.</t>
  </si>
  <si>
    <r>
      <t xml:space="preserve">Arrancamento de tubulacao de ferro galvanizado,sem escavacao ou rasgo em alvenaria </t>
    </r>
    <r>
      <rPr>
        <b/>
        <sz val="12"/>
        <rFont val="Arial"/>
        <family val="2"/>
      </rPr>
      <t>(muro existente dos fundos e 2 traves de futsal)</t>
    </r>
  </si>
  <si>
    <r>
      <t>Demolição de alvenaria de bloco furado, de forma manual, sem reaproveitamento. Af_12/2017</t>
    </r>
    <r>
      <rPr>
        <b/>
        <sz val="12"/>
        <rFont val="Arial"/>
        <family val="2"/>
      </rPr>
      <t xml:space="preserve"> (muro existente dos fundos)</t>
    </r>
  </si>
  <si>
    <r>
      <t xml:space="preserve">Demolição de pilares e vigas em concreto armado, de forma manual, sem reaproveitamento. Af_12/2017 </t>
    </r>
    <r>
      <rPr>
        <b/>
        <sz val="12"/>
        <rFont val="Arial"/>
        <family val="2"/>
      </rPr>
      <t>(muro fundos e ajuste dos portões existentes)</t>
    </r>
  </si>
  <si>
    <t>Demolicao,com equipamento de ar comprimido,de pisos ou pavimentos de concreto simples,inclusive empilhamento lateral dentro do canteiro de servico</t>
  </si>
  <si>
    <t>Remocao de pavimentacao de lajotas de concreto,altamente vibrado,intertravado,pre-fabricado .</t>
  </si>
  <si>
    <t>Arrancamento de meios-fios,de granito ou concreto,retos ou curvos,inclusive empilhamento lateral dentro do canteiro de servico .</t>
  </si>
  <si>
    <t>Retirada de tampa de concreto de caixa de águas pluviais - 1,00x0,50m</t>
  </si>
  <si>
    <t>Poda em altura de árvore com diâmetro de tronco maior ou igual a 0,20m e menor que 0,40m.af_05/2018</t>
  </si>
  <si>
    <r>
      <t xml:space="preserve">Limpeza de superficies com jato de alta pressao de ar e agua </t>
    </r>
    <r>
      <rPr>
        <b/>
        <sz val="12"/>
        <rFont val="Arial"/>
        <family val="2"/>
      </rPr>
      <t>(Limpeza dos pisos quadra e entorno para execução de pisos novos).</t>
    </r>
  </si>
  <si>
    <t>Perfuracao manual de solo,a trado acima de 10".</t>
  </si>
  <si>
    <r>
      <t xml:space="preserve">Concreto dosado racionalmente para uma resistencia caracteristica a compressao de 30mpa,inclusive materiais,transporte,preparo com betoneira,lancamento e adensamento </t>
    </r>
    <r>
      <rPr>
        <b/>
        <sz val="12"/>
        <rFont val="Arial"/>
        <family val="2"/>
      </rPr>
      <t>(trados)</t>
    </r>
  </si>
  <si>
    <r>
      <t>Barra de aco ca-50,com saliencia ou mossa,coeficiente de conformacao superficial minimo (aderencia) igual a 1,5,diametro de 6,3mm,destinada a armadura de concreto armado,10% de perdas de pontas e arame 18.</t>
    </r>
    <r>
      <rPr>
        <b/>
        <sz val="12"/>
        <rFont val="Arial"/>
        <family val="2"/>
      </rPr>
      <t>FORNECIMENTO (trados)</t>
    </r>
  </si>
  <si>
    <r>
      <t xml:space="preserve">Armação de bloco, viga baldrame ou sapata utilizando aço ca-50 de 6,3 mm - montagem. Af_06/2017  </t>
    </r>
    <r>
      <rPr>
        <b/>
        <sz val="12"/>
        <rFont val="Arial"/>
        <family val="2"/>
      </rPr>
      <t>(trados)</t>
    </r>
  </si>
  <si>
    <r>
      <t xml:space="preserve">Barra de aco ca-50,com saliencia ou mossa,coeficiente de conformacao superficial minimo (aderencia) igual a 1,5,diametro de 10,0mm,destinada a armadura de concreto armado,10%de perdas de pontas e arame 18. </t>
    </r>
    <r>
      <rPr>
        <b/>
        <sz val="12"/>
        <rFont val="Arial"/>
        <family val="2"/>
      </rPr>
      <t>FORNECIMENTO (TRADOS)</t>
    </r>
  </si>
  <si>
    <r>
      <t xml:space="preserve">Armação de bloco, viga baldrame ou sapata utilizando aço ca-50 de 10 mm - montagem. Af_06/2017 </t>
    </r>
    <r>
      <rPr>
        <b/>
        <sz val="12"/>
        <rFont val="Arial"/>
        <family val="2"/>
      </rPr>
      <t>(TRADOS)</t>
    </r>
  </si>
  <si>
    <t>VIGA BALDRAME  - 30MPa</t>
  </si>
  <si>
    <r>
      <t xml:space="preserve">Fio de aco ca-60,redondo,com saliencia ou mossa,coeficiente de conformacao superficial minimo(aderencia)igual a 1,5,diametro de 5mm,destinado a armadura de pecas de concreto armado,compreendendo 10% de perdas de pontas e arame 18. </t>
    </r>
    <r>
      <rPr>
        <b/>
        <sz val="12"/>
        <rFont val="Arial"/>
        <family val="2"/>
      </rPr>
      <t>FORNECIMENTO</t>
    </r>
  </si>
  <si>
    <r>
      <t xml:space="preserve">Barra de aco ca-50,com saliencia ou mossa,coeficiente de conformacao superficial minimo (aderencia) igual a 1,5,diametro de 12,5mm,destinada a armadura de concreto armado,10%de perdas de pontas e arame 18. </t>
    </r>
    <r>
      <rPr>
        <b/>
        <sz val="12"/>
        <rFont val="Arial"/>
        <family val="2"/>
      </rPr>
      <t>FORNECIMENTO</t>
    </r>
  </si>
  <si>
    <r>
      <t>Barra de aco ca-50,com saliencia ou mossa,coeficiente de conformacao superficial minimo (aderencia) igual a 1,5,diametro de 10mm,destinada a armadura de concreto armado,10%de perdas de pontas e arame 18.</t>
    </r>
    <r>
      <rPr>
        <b/>
        <sz val="12"/>
        <rFont val="Arial"/>
        <family val="2"/>
      </rPr>
      <t>FORNECIMENTO</t>
    </r>
  </si>
  <si>
    <r>
      <t>Fio de aco ca-60,redondo,com saliencia ou mossa,coeficiente de conformacao superficial minimo(aderencia)igual a 1,5,diametro de 5mm,destinado a armadura de pecas de concreto armado,compreendendo 10% de perdas de pontas e arame 18.</t>
    </r>
    <r>
      <rPr>
        <b/>
        <sz val="12"/>
        <rFont val="Arial"/>
        <family val="2"/>
      </rPr>
      <t xml:space="preserve"> FORNECIMENTO</t>
    </r>
  </si>
  <si>
    <t>Formas de madeira de 3ª¦ para moldagem de pecas de concreto armado com paramentos planos,em lajes,vigas,paredes,etc,servindo a madeira 1 vez,inclusive desmoldagem,exclusive escoramento (obs.:3%-desgaste de ferramentas e epi).</t>
  </si>
  <si>
    <r>
      <t>Barra de aco ca-50,com saliencia ou mossa,coeficiente de conformacao superficial minimo (aderencia) igual a 1,5,diametro de 8 a 12,5mm,destinada a armadura de concreto armado,10%de perdas de pontas e arame 18.</t>
    </r>
    <r>
      <rPr>
        <b/>
        <sz val="12"/>
        <rFont val="Arial"/>
        <family val="2"/>
      </rPr>
      <t>FORNECIMENTO</t>
    </r>
  </si>
  <si>
    <r>
      <t>Barra de aco ca-50,com saliencia ou mossa,coeficiente de conformacao superficial minimo (aderencia) igual a 1,5,diametro acima de 12,5mm,destinada a armadura de concreto armado,10%de perdas de pontas e arame 18.</t>
    </r>
    <r>
      <rPr>
        <b/>
        <sz val="12"/>
        <rFont val="Arial"/>
        <family val="2"/>
      </rPr>
      <t>FORNECIMENTO</t>
    </r>
  </si>
  <si>
    <t>Material de 1ª categoria para aterros,compreendendo:escavacao,carga,transporte a 15km em caminhao basculante e descarga, considerando o volume necessario a execucao de 1,00m3 de material compactado, inclusive fornecimento de material para aterro.</t>
  </si>
  <si>
    <r>
      <t>Geocomposto para drenagem,vertical,formado por geomanta tridimensional com 16mm de espessura,fabricado com filamentos de polipropileno termosoldada a dois geotexteis nao tecido depoliester e tubo dreno perfurado.</t>
    </r>
    <r>
      <rPr>
        <b/>
        <sz val="12"/>
        <rFont val="Arial"/>
        <family val="2"/>
      </rPr>
      <t>FORNECIMENTO E COLOCAÇÃO</t>
    </r>
  </si>
  <si>
    <r>
      <t xml:space="preserve">Tubo pvc corrugado rigido perfurado dn 150 para drenagem - </t>
    </r>
    <r>
      <rPr>
        <b/>
        <sz val="12"/>
        <rFont val="Arial"/>
        <family val="2"/>
      </rPr>
      <t>FORNECIMENTO E INSTALAÇÃO</t>
    </r>
  </si>
  <si>
    <r>
      <t xml:space="preserve">Tubo pvc d=3" com material drenante para dreno/barbaca - </t>
    </r>
    <r>
      <rPr>
        <b/>
        <sz val="12"/>
        <rFont val="Arial"/>
        <family val="2"/>
      </rPr>
      <t>FORNECIMENTO E INSTALAÇÃO</t>
    </r>
  </si>
  <si>
    <r>
      <t>Calha meio-tubo circular de concreto vibrado,diametro interno de 300mm,inclusive acerto de fundo de vala.</t>
    </r>
    <r>
      <rPr>
        <b/>
        <sz val="12"/>
        <rFont val="Arial"/>
        <family val="2"/>
      </rPr>
      <t>FORNECIMENTO E ASSENTAMENTO</t>
    </r>
    <r>
      <rPr>
        <sz val="12"/>
        <rFont val="Arial"/>
        <family val="2"/>
      </rPr>
      <t xml:space="preserve"> (obs.:3%-desgaste de ferramentas e epi).</t>
    </r>
  </si>
  <si>
    <t>Concreto dosado racionalmente para uma resistencia caracteristica a compressao de 30mpa,inclusive materiais,transporte,preparo com betoneira,lancamento e adensamento</t>
  </si>
  <si>
    <t>Alvenaria de tijolos ceramicos furados 10x20x30cm,complementada com 6% de tijolos de 10x20x20cm,assentes com argamassa d e cimento e saibro,no traco 1:8,em paredes de meia vez(0,10m) de superficie corrida,ate 3,00m de altura e medida pela area real</t>
  </si>
  <si>
    <r>
      <t>Tela em polietileno de alta densidade,100% virgem,com malha de (5x5)cm,com resistencia a tracao de 250kgf.</t>
    </r>
    <r>
      <rPr>
        <b/>
        <sz val="12"/>
        <rFont val="Arial"/>
        <family val="2"/>
      </rPr>
      <t>FORNECIMENTO E COLOCAÇÃO</t>
    </r>
  </si>
  <si>
    <r>
      <t>Tomada eletrica 2p+t,10a/250v,padrao brasileiro,de embutir,com placa 4"x2".</t>
    </r>
    <r>
      <rPr>
        <b/>
        <sz val="12"/>
        <color indexed="8"/>
        <rFont val="Arial"/>
        <family val="2"/>
      </rPr>
      <t>FORNECIMENTO E COLOCAÇÃO</t>
    </r>
  </si>
  <si>
    <r>
      <t>Interruptor de embutir com 2 teclas simples fosforescentes e placa.</t>
    </r>
    <r>
      <rPr>
        <b/>
        <sz val="12"/>
        <color indexed="8"/>
        <rFont val="Arial"/>
        <family val="2"/>
      </rPr>
      <t>FORNECIMENTO E COLOCAÇÃO</t>
    </r>
  </si>
  <si>
    <r>
      <t xml:space="preserve">Chumbador de aço para fixação de poste de aco reto ou curvo 7 a 9m com flange - </t>
    </r>
    <r>
      <rPr>
        <b/>
        <sz val="12"/>
        <rFont val="Arial"/>
        <family val="2"/>
      </rPr>
      <t>FORNECIMENTO E COLOCAÇÃO</t>
    </r>
  </si>
  <si>
    <r>
      <t xml:space="preserve">Caixa de passagem 30x30x40 com tampa e dreno brita </t>
    </r>
    <r>
      <rPr>
        <b/>
        <sz val="12"/>
        <rFont val="Arial"/>
        <family val="2"/>
      </rPr>
      <t>(base dos postes de iluminação externa)</t>
    </r>
  </si>
  <si>
    <r>
      <t xml:space="preserve">Escavação manual de vala com profundidade menor ou igual a 1,30 m. Af_03/2016 </t>
    </r>
    <r>
      <rPr>
        <b/>
        <sz val="12"/>
        <rFont val="Arial"/>
        <family val="2"/>
      </rPr>
      <t>(fundação postes de  9,0m)</t>
    </r>
  </si>
  <si>
    <r>
      <t xml:space="preserve">Concreto fck = 20mpa, traço 1:2,7:3 (cimento/ areia média/ brita 1)  - preparo mecânico com betoneira 400 l. Af_07/2016 </t>
    </r>
    <r>
      <rPr>
        <b/>
        <sz val="12"/>
        <rFont val="Arial"/>
        <family val="2"/>
      </rPr>
      <t>(fundação postes de 9,0m)</t>
    </r>
  </si>
  <si>
    <r>
      <t>Lancamento/aplicacao manual de concreto em fundacoes</t>
    </r>
    <r>
      <rPr>
        <b/>
        <sz val="12"/>
        <rFont val="Arial"/>
        <family val="2"/>
      </rPr>
      <t xml:space="preserve"> (fundação postes de 4,5m  e 9,0m)</t>
    </r>
  </si>
  <si>
    <r>
      <t xml:space="preserve">Quadro de distribuicao de energia em chapa de aco galvanizado, para 12 disjuntores termomagneticos monopolares, com barramento trifasico e neutro - </t>
    </r>
    <r>
      <rPr>
        <b/>
        <sz val="12"/>
        <rFont val="Arial"/>
        <family val="2"/>
      </rPr>
      <t>fornecimento e instalacao</t>
    </r>
  </si>
  <si>
    <r>
      <t xml:space="preserve">Disjuntor monopolar tipo din, corrente nominal de 32a - </t>
    </r>
    <r>
      <rPr>
        <b/>
        <sz val="12"/>
        <rFont val="Arial"/>
        <family val="2"/>
      </rPr>
      <t>fornecimento e instalação</t>
    </r>
    <r>
      <rPr>
        <sz val="12"/>
        <rFont val="Arial"/>
        <family val="2"/>
      </rPr>
      <t>. Af_04/2016</t>
    </r>
  </si>
  <si>
    <r>
      <t xml:space="preserve">Disjuntor bipolar tipo din, corrente nominal de 16a - </t>
    </r>
    <r>
      <rPr>
        <b/>
        <sz val="12"/>
        <rFont val="Arial"/>
        <family val="2"/>
      </rPr>
      <t xml:space="preserve">fornecimento e instalação. </t>
    </r>
    <r>
      <rPr>
        <sz val="12"/>
        <rFont val="Arial"/>
        <family val="2"/>
      </rPr>
      <t>Af_04/2016</t>
    </r>
  </si>
  <si>
    <r>
      <t xml:space="preserve">Disjuntor bipolar tipo din, corrente nominal de 20a - </t>
    </r>
    <r>
      <rPr>
        <b/>
        <sz val="12"/>
        <rFont val="Arial"/>
        <family val="2"/>
      </rPr>
      <t>fornecimento e instalação</t>
    </r>
    <r>
      <rPr>
        <sz val="12"/>
        <rFont val="Arial"/>
        <family val="2"/>
      </rPr>
      <t>. Af_04/2016</t>
    </r>
  </si>
  <si>
    <r>
      <t xml:space="preserve">Disjuntor tripolar tipo din, corrente nominal de 40a - </t>
    </r>
    <r>
      <rPr>
        <b/>
        <sz val="12"/>
        <rFont val="Arial"/>
        <family val="2"/>
      </rPr>
      <t>fornecimento e instalação.</t>
    </r>
    <r>
      <rPr>
        <sz val="12"/>
        <rFont val="Arial"/>
        <family val="2"/>
      </rPr>
      <t xml:space="preserve"> Af_04/2016</t>
    </r>
  </si>
  <si>
    <r>
      <t xml:space="preserve">Haste de aterramento 5/8  para spda - </t>
    </r>
    <r>
      <rPr>
        <b/>
        <sz val="12"/>
        <rFont val="Arial"/>
        <family val="2"/>
      </rPr>
      <t>fornecimento e instalação</t>
    </r>
    <r>
      <rPr>
        <sz val="12"/>
        <rFont val="Arial"/>
        <family val="2"/>
      </rPr>
      <t>. Af_12/2017</t>
    </r>
  </si>
  <si>
    <r>
      <t>Cabo de cobre com isolamento termoplastico,compreendendo:preparo,corte e enfiacao em eletrodutos na bitola de 4mm2,450/7 50v.</t>
    </r>
    <r>
      <rPr>
        <b/>
        <sz val="12"/>
        <color indexed="8"/>
        <rFont val="Arial"/>
        <family val="2"/>
      </rPr>
      <t>fornecimento e colocacao</t>
    </r>
    <r>
      <rPr>
        <sz val="12"/>
        <color indexed="8"/>
        <rFont val="Arial"/>
        <family val="2"/>
      </rPr>
      <t xml:space="preserve"> .</t>
    </r>
  </si>
  <si>
    <r>
      <t>Cabo de cobre com isolamento termoplastico,compreendendo:preparo,corte e enfiacao em eletrodutos na bitola de 10mm2,450/ 750v.</t>
    </r>
    <r>
      <rPr>
        <b/>
        <sz val="12"/>
        <color indexed="8"/>
        <rFont val="Arial"/>
        <family val="2"/>
      </rPr>
      <t>fornecimento e colocacao .</t>
    </r>
  </si>
  <si>
    <r>
      <t>Eletroduto de pvc rigido rosqueavel de 3/4",inclusive conexoes e emendas,exclusive abertura e fechamento de rasgo.</t>
    </r>
    <r>
      <rPr>
        <b/>
        <sz val="12"/>
        <color indexed="8"/>
        <rFont val="Arial"/>
        <family val="2"/>
      </rPr>
      <t xml:space="preserve">fornecimento e assentamento </t>
    </r>
  </si>
  <si>
    <r>
      <t>Eletroduto de pvc rigido rosqueavel de 1",inclusive conexoes e emendas,exclusive abertura e fechamento de rasgo.</t>
    </r>
    <r>
      <rPr>
        <b/>
        <sz val="12"/>
        <color indexed="8"/>
        <rFont val="Arial"/>
        <family val="2"/>
      </rPr>
      <t>fornecimento e assentamento</t>
    </r>
  </si>
  <si>
    <t>Concretagem de vigas baldrames, fck 30 mpa, com uso de bomba  lançamento, adensamento e acabamento. Af_06/2017</t>
  </si>
  <si>
    <t>Corte,dobragem,montagem e colocacao de ferragens nas formas,aco ca-50,em barras redondas,com diametro acima de 12,5mm .</t>
  </si>
  <si>
    <t>Reaterro de vala/cava com material de boa qualidade,utilizando vibro compactador portatil,exclusive material.</t>
  </si>
  <si>
    <r>
      <t xml:space="preserve">Tampao completo de fºfº,com 120 a 125kg,para poco de visita ou caixa de areia,padrao cedae(c-3),carga minima para teste 25t,resistencia maxima de rompimento 31,25t e flecha residual maxima de 17mm, Ø 60cm,assentado com argamassa de cimento e areia, no traco 1:4 em volume. </t>
    </r>
    <r>
      <rPr>
        <b/>
        <sz val="12"/>
        <rFont val="Arial"/>
        <family val="2"/>
      </rPr>
      <t>FORNECIMENTO E ASSENTAMENTO.</t>
    </r>
  </si>
  <si>
    <r>
      <t xml:space="preserve">Tubo pvc (nbr-7362), para aguas pluviais, com diametro nominal de 250mm, inclusive anel de borracha. </t>
    </r>
    <r>
      <rPr>
        <b/>
        <sz val="12"/>
        <rFont val="Arial"/>
        <family val="2"/>
      </rPr>
      <t>FORNECIMENTO</t>
    </r>
  </si>
  <si>
    <t>Tubo de concreto armado,classe pa-1(nbr 8890/03),para galerias de aguas pluviais,com diametro de 300mm,aterro e soca ate a altura da geratriz superior do tubo,considerando o material da propria escavacao,inclusive fornecimento do material para rejuntamento com argamassa de cimento e areia,no traco 1:4 e acerto de fundo de vala.fornecimento e assentamento.</t>
  </si>
  <si>
    <t>02249</t>
  </si>
  <si>
    <t>CONCRETO IMPORTADO DE USINA, UTILIZANDOBRITA 1, DE 20MPA</t>
  </si>
  <si>
    <t>CHAPA DE ACO GALVANIZADO, N§16 (1,55)MM</t>
  </si>
  <si>
    <t>BARRA CHATA DE ACO, DE 3/8"X1.1/4"</t>
  </si>
  <si>
    <t>M²</t>
  </si>
  <si>
    <t>8.7</t>
  </si>
  <si>
    <r>
      <t xml:space="preserve">PREPARO MANUAL DE TERRENO,COMPREENDENDO ACERTO,RASPAGEM EVENTUALMENTE ATE 0.30M DE PROFUNDIDADE E AFASTAMENTO LATERAL DO MATERIAL EXCEDENTE,EXCLUSIVE COMPACTACAO  </t>
    </r>
    <r>
      <rPr>
        <b/>
        <sz val="12"/>
        <rFont val="Arial"/>
        <family val="2"/>
      </rPr>
      <t>(PÁTIO DE ACESSO DA ESCOLA PARA QUADRA E CALÇADA EXTERNA)</t>
    </r>
  </si>
  <si>
    <t>Fabricação de fôrma para lajes, em madeira serrada, e=25 mm. Af_12/2015 (forma para execução de piso tatil alerta e direcional) (PÁTIO DE ACESSO DA ESCOLA PARA QUADRA E CALÇADA EXTERNA)</t>
  </si>
  <si>
    <t>05859</t>
  </si>
  <si>
    <t>TELA DE ARAME GALVANIZADO FIO N§ 12, MALHA LOSANGO, DE (5X5)CM</t>
  </si>
  <si>
    <t>TELA DE ARAME GALVANIZADO N§12,MALHA LOSANGO DE 5X5CM,PRESA A ARMACAO DE TUBO DE FERRO GALVANIZADO.FORNECIMENTO E COLOCACAO.</t>
  </si>
  <si>
    <t>RÉGUA VIBRATÓRIA DUPLA PARA CONCRETO, PESO DE 60KG, COMPRIMENTO 4 M, COM MOTOR A GASOLINA, POTÊNCIA 5,5 HP - CHP DIURNO. AF_09/2016</t>
  </si>
  <si>
    <t>RÉGUA VIBRATÓRIA DUPLA PARA CONCRETO, PESO DE 60KG, COMPRIMENTO 4 M, COM MOTOR A GASOLINA, POTÊNCIA 5,5 HP - CHI DIURNO. AF_09/2016</t>
  </si>
  <si>
    <r>
      <t xml:space="preserve">Concretagem de radier, piso ou laje sobre solo, fck 30 mpa, para espessura média de 10 cm - lançamento, adensamento e acabamento. Af_09/2017, inclusive utilização de regua vibratória para acabamento. </t>
    </r>
    <r>
      <rPr>
        <b/>
        <u val="single"/>
        <sz val="12"/>
        <rFont val="Arial"/>
        <family val="2"/>
      </rPr>
      <t>Considerar caimento lateral de 0,5%.</t>
    </r>
  </si>
  <si>
    <t>LADRILHO HIDRÁULICO CINZA 30X30CM</t>
  </si>
  <si>
    <t>LADRILHO HIDRÁULICO TATIL ALERTA 30X30CM</t>
  </si>
  <si>
    <t>LADRILHO HIDRÁULICO TATIL DIRECIONAL 30X30CM</t>
  </si>
  <si>
    <t>ESTRELA MOSAICO</t>
  </si>
  <si>
    <t>12.633.589/0001-44</t>
  </si>
  <si>
    <t>(11)2555-9426</t>
  </si>
  <si>
    <t>WEVERTON FURTADO</t>
  </si>
  <si>
    <t>PISOS PASSARELA LTDA</t>
  </si>
  <si>
    <t>(43) 3339-6013</t>
  </si>
  <si>
    <t>Josane Andrade</t>
  </si>
  <si>
    <t xml:space="preserve"> 07.359.885/0001-69</t>
  </si>
  <si>
    <t>3.2 e 8.7</t>
  </si>
  <si>
    <t>BASE PARA POÇO DE VISITA RETANGULAR PARA  ESGOTO, EM ALVENARIA COM BLOCOS DE CONCRETO, DIMENSÕES INTERNAS = 1X1 M, PROFUNDIDADE = 1,45 M, EXCLUINDO TAMPÃO. AF_05/2018</t>
  </si>
  <si>
    <t>adotado emop</t>
  </si>
  <si>
    <t>POÇO DE VISITA RETANGULAR PARA  ESGOTO, EM ALVENARIA COM BLOCOS DE CONCRETO, DIMENSÕES INTERNAS = 1X1 M, PROFUNDIDADE = 1,45 M, EXCLUINDO TAMPÃO. AF_05/2018</t>
  </si>
  <si>
    <r>
      <t>Geomanta para revestimento de talude sujeito a erosao superficial com espessura de 10mm,flexivel,tridimensional,com mais de 90% de vazios,inclusive aco ca-50,vegetacao adequada ,adubo e rega,exclusive limpeza e raspagem do terreno</t>
    </r>
    <r>
      <rPr>
        <b/>
        <sz val="12"/>
        <rFont val="Arial"/>
        <family val="2"/>
      </rPr>
      <t>.FORNECIMENTO E COLOCAÇÃO</t>
    </r>
  </si>
  <si>
    <t>Armacao em tela de aco soldada nervurada q-196, (3,11 kg/m2), diametro do fio = 5,0 mm, largura =  2,45 m, espacamento da malha = 10 x 10 cm com, amarração com arame recozido 18bwg, 1,25mm, transpasse mínimo de uma malha.</t>
  </si>
  <si>
    <r>
      <t xml:space="preserve">Revestimento de piso com ladrilho hidraulico,30x30x2,5cm,assentes com nata de cimento sobre argamassa de cimento, saibro e areia,no traco 1:3:3,rejuntamento com cimento branco e corante </t>
    </r>
    <r>
      <rPr>
        <b/>
        <sz val="12"/>
        <color indexed="8"/>
        <rFont val="Arial"/>
        <family val="2"/>
      </rPr>
      <t>( pátios do colégio)</t>
    </r>
  </si>
  <si>
    <t>Revestimento de piso com ceramica tatil alerta e direcional, medidas 30x30x2,5cm, amarelo,(ladrilho hidraulico) para pessoas com necessidades especificas,assentes com nata de cimento sobre argamassa de cimento, saibro e areia,no traco 1:3:3,rejuntamento com cimento branco e corante.</t>
  </si>
  <si>
    <t>Alambrado para quadra poliesportiva, estruturado por tubos de aco galvanizado, com costura, din 2440, diametro 2", com tela de arame galvanizado, fio 12 bwg e malha losangular 5x5cm</t>
  </si>
  <si>
    <r>
      <t xml:space="preserve">Chapa de aco carbono 3/8 (coloc/ uso/ retir) p/ pass veiculo sobre vala medida p/ area chapa em cada aplicacao, medidas aproximadas de 15x15cm , inclusive furacao em concreto com furadeira manual e broca de widia de diametro ate 1/2"  e  4 parafusos de aco tipo chumbador parabolt, diametro 3/8", comprimento 75 mm  </t>
    </r>
    <r>
      <rPr>
        <b/>
        <sz val="12"/>
        <rFont val="Arial"/>
        <family val="2"/>
      </rPr>
      <t>(soldar nos tubos e fixar o alambrado nos muros laterais).</t>
    </r>
  </si>
  <si>
    <t>8.8</t>
  </si>
  <si>
    <t xml:space="preserve">Fornecimento e colocação de tampa de concreto armado 80x80x10cm para caixa </t>
  </si>
  <si>
    <t>Peso = 56,59x 3,11kg/m²</t>
  </si>
  <si>
    <t>Caixa coletora em alvenaria de blocos de concreto(20x20x40cm),paredes 0,20m de esp.c/1,00x1,00x1,45m internamente,p/coletor aguas pluviais 0,40 a 0,70m de diam.utilizando arg.cim.areia,traco 1:4,sendo paredes chapiscadas e revestidas internamente c/arg. ,enchimento blocos e base em concreto simples,tampa de concr.armado,degraus ferro fundido,incl.forn.todos os materiais</t>
  </si>
  <si>
    <t>02.020.0001-A</t>
  </si>
  <si>
    <t>PREGO COM OU SEM CABECA, EM CAIXAS DE 50KG, OU QUANTIDADES EQUIVALENTES, N§12X12A 18X30</t>
  </si>
  <si>
    <t>PINUS, EM PECAS DE 7,50X7,50CM (3"X3")</t>
  </si>
  <si>
    <t>TINTA A OLEO BRILHANTE, P/USO GERAL, EMINTERIORES E EXTERIORES</t>
  </si>
  <si>
    <t>CHAPA DE ACO CARBONO, GALVANIZADA, PARAUSOS GERAIS, TAMANHO PADRAO, PRECO DE REVENDEDOR, COM ESPESSURA DE 0,5MM</t>
  </si>
  <si>
    <t>20132</t>
  </si>
  <si>
    <t>MAO-DE-OBRA DE SERVENTE DA CONSTRUCAO CIVIL, INCLUSIVE ENCARGOS SOCIAIS DESONERADOS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</si>
  <si>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</si>
  <si>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</si>
  <si>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</si>
  <si>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</si>
  <si>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30411</t>
  </si>
  <si>
    <t>19.004.0001-C CAMINHAO CARROC. FIXA, 3,5T (CP)</t>
  </si>
  <si>
    <t>02.004.0007-A</t>
  </si>
  <si>
    <t>TUBO DE PVC RIGIDO, PONTA/BOLSA COM VIROLA, EM BARRAS DE 6,00M, DE 100MM</t>
  </si>
  <si>
    <t>CURVA 90§ DE PVC CURTA PARA ESGOTO, DE 050MM</t>
  </si>
  <si>
    <t>ADESIVO PLASTICO PARA PVC RIGIDO, EM BISNAGA DE 75G</t>
  </si>
  <si>
    <t>GLOBO ESFERICO, EM VIDRO, TIPO LEITOSO,DE 4"X6"</t>
  </si>
  <si>
    <t>FLANGE DE PVC RIGIDO COM ROSCA SEXTAVADA, SEM FUROS, DE 3/4"</t>
  </si>
  <si>
    <t>TUBO DE PVC RIGIDO ROSQUEAVEL, EM BARRASDE 6,00M, ROSCA EM AMBAS AS EXTREMIDADES, DE 1/2"</t>
  </si>
  <si>
    <t>TUBO DE PVC RIGIDO ROSQUEAVEL, EM BARRASDE 6,00M, ROSCA EM AMBAS AS EXTREMIDADES, DE 3/4"</t>
  </si>
  <si>
    <t>TUBO DE PVC RIGIDO ROSQUEAVEL, EM BARRASDE 6,00M, ROSCA EM AMBAS AS EXTREMIDADES, DE 1"</t>
  </si>
  <si>
    <t>CORDAO PARALELO COM ISOLAMENTO TERMOPLASTICO, ATE 750V, DE 2X2,5MM2</t>
  </si>
  <si>
    <t>TUBO DE PVC RIGIDO, PONTA/BOLSA COM VIROLA, EM BARRAS DE 6,00M, DE 75MM</t>
  </si>
  <si>
    <t>DISJUNTOR MONOFASICO DE 250V, DE 010 A 030A</t>
  </si>
  <si>
    <t>FLANGE DE PVC RIGIDO COM ROSCA SEXTAVADA, SEM FUROS, DE 1.1/4"</t>
  </si>
  <si>
    <t>JOELHO 90§ DE PVC RIGIDO ROSQUEAVEL, DE1/2"</t>
  </si>
  <si>
    <t>JOELHO 90§ DE PVC RIGIDO ROSQUEAVEL, DE3/4"</t>
  </si>
  <si>
    <t>JOELHO 90§ DE PVC RIGIDO ROSQUEAVEL, DE1"</t>
  </si>
  <si>
    <t>NIPEL DE PVC, COM ROSCA, DE 1/2"</t>
  </si>
  <si>
    <t>TE 90§ DE PVC RIGIDO ROSQUEAVEL, DE 3/4"</t>
  </si>
  <si>
    <t>CANTONEIRA DE ACO DOCE, P/SERRALHERIA, PRECO DE REVENDEDOR, DE 5/8"X1/8" ATE 1.1/2"X1/8"</t>
  </si>
  <si>
    <t>TUBO DE PVC RIGIDO SOLDAVEL, PONTA/BOLSA, PARA ESGOTO, EM BARRAS DE 6,00M, DE 040MM</t>
  </si>
  <si>
    <t>REGISTRO DE GAVETA DE BRONZE, DE 1¦ QUALIDADE COM ROSCA DE AMBOS OS LADOS, DE 3/4"</t>
  </si>
  <si>
    <t>PARAFUSO C/ROSCA, DE (8x100)MM</t>
  </si>
  <si>
    <t>54.001.0178-1 PINUS EM PECAS DE 2,50X22,50CM, (1"X9")</t>
  </si>
  <si>
    <t>RECEPTACULO DE PORCELANA P/LAMPADA INCANDESCENTE, BASE E-27</t>
  </si>
  <si>
    <t>VIDRO PLANO TRANSPARENTE, COMUM, COM ESPESSURA DE 3MM</t>
  </si>
  <si>
    <t>PARAFUSO DE LATAO, ROSCA SOBERBA, CABECACHATA, DE 5,5MMX2.1/2"</t>
  </si>
  <si>
    <t>FITA ISOLANTE, ROLO DE 19MMX20M</t>
  </si>
  <si>
    <t>REGISTRO DE GAVETA DE BRONZE, DE 1¦ QUALIDADE COM ROSCA DE AMBOS OS LADOS, DE 1/2"</t>
  </si>
  <si>
    <t>CURVA 90§ DE PVC CURTA PARA ESGOTO, DE 100MM</t>
  </si>
  <si>
    <t>REGISTRO DE GAVETA DE BRONZE, DE 1¦ QUALIDADE COM ROSCA DE AMBOS OS LADOS, DE 1"</t>
  </si>
  <si>
    <t>PORTA LISA, SEMI-OCA PARA PINTURA, DE (80X210X3,5)CM</t>
  </si>
  <si>
    <t>PORTA LISA, SEMI-OCA PARA PINTURA, DE (60X210X3,5)CM</t>
  </si>
  <si>
    <t>CAIXA D'AGUA DE FIBRA DE VIDRO OU POLIETILENO, COM CAPACIDADE DE 1000 LITROS</t>
  </si>
  <si>
    <t>54.001.0172-1 PINUS EM PECAS DE 7,50 X 11,25CM, (3"X4.1/2")</t>
  </si>
  <si>
    <t>TARJETA DE FIO REDONDO, EM FERRO CROMADO, DE 2"</t>
  </si>
  <si>
    <t>CHAPA DE MADEIRA COMPENSADA, PLASTIFICADA, COM ESPESSURA DE 10MM</t>
  </si>
  <si>
    <t>BUCHA DE NYLON, TIPO S-12</t>
  </si>
  <si>
    <t>ABRACADEIRA TIPO COPO, DE 1"</t>
  </si>
  <si>
    <t>TELHA ONDULADA DE CIMENTO, SEM AMIANTO,REFORCADA C/FIOS SINTETICOS (CRFS), DE (2,44X1,10)M E C/ESPES. DE 6MM</t>
  </si>
  <si>
    <t>VASO SANITARIO SIFONADO, DE LOUCA BRANCA, TIPO POPULAR, INCLUSIVE ACESSORIOS DEFIXACAO</t>
  </si>
  <si>
    <t>BOLSA DE LIGACAO PARA VASO SANITARIO</t>
  </si>
  <si>
    <t>INTERRUPTOR DE SOBREPOR SIMPLES, DE 10A-250V</t>
  </si>
  <si>
    <t>PARAFUSO FERRO, ROSCA SOBERBA, CABECA CHATA, DE (3,8X30)MM</t>
  </si>
  <si>
    <t>PORTA CADEADO EM FERRO ZINCADO, DE 4.1/2"</t>
  </si>
  <si>
    <t>CHUVEIRO DE PLASTICO BRANCO COMPLETO</t>
  </si>
  <si>
    <t>CADEADO COM DUPLA TRAVA, DISCO DE SEGURANCA ANTI GAZUA, CORPO DE LATAO MACICO, CILINDRO DE LATAO TREFILADO, DE 30MM</t>
  </si>
  <si>
    <t>ABRACADEIRA TIPO COPO, DE 3/4"</t>
  </si>
  <si>
    <t>ABRACADEIRA TIPO COPO, DE 1/2"</t>
  </si>
  <si>
    <t>TE DE REDUCAO CENTRAL EM BRONZE, ROSCAXROSCA, DE 1"X3/4"X1"</t>
  </si>
  <si>
    <t>DOBRADICA EM FERRO LAMINADO, COM PINO DEFERRO REVERSIVEL, DE 3"X3"X5/64"</t>
  </si>
  <si>
    <t>FECHADURA DE SOBREPOR, TIPO CAIXAO, RETANGULAR, ACABAMENTO FERRO RESINADO PRETO,DE (100X86X38)MM</t>
  </si>
  <si>
    <t>LAVATORIO DE LOUCA BRANCA, TIPO POPULAR,MEDINDO EM TORNO DE (55X45)CM, INCLUSIVE ACESSORIOS DE FIXACAO</t>
  </si>
  <si>
    <t>RALO SIFONADO DE PVC RIGIDO, COM SAIDA DE 75MM, COM GRELHA REDONDA E PORTA GRELHA, DE (150X185X75)MM</t>
  </si>
  <si>
    <t>TORNEIRA DE BOIA EM BRONZE, DE PRESSAO,DE 3/4"</t>
  </si>
  <si>
    <t>RABICHO PLASTICO COM SAIDA DE 1/2" E COMCOMPRIMENTO DE 30CM</t>
  </si>
  <si>
    <t>TORNEIRA DE PRESSAO DE 1/2", SEM AREJADOR</t>
  </si>
  <si>
    <t>CAIXA DE DESCARGA EXTERNA, PLASTICA</t>
  </si>
  <si>
    <t>VALVULA DE ESCOAMENTO, PARA LAVATORIO, SEM UNHO, EM PVC</t>
  </si>
  <si>
    <t>ANEL DE CONCRETO PRE-FABRICADO, P/CAIXADE INSPECAO, COM 600MM DE DIAMETRO INT.,40MM DE ESPESSURA, COM ALTURA DE 300MM</t>
  </si>
  <si>
    <t>ANEL DE CONCRETO PRE-FABRICADO, P/CAIXADE INSPECAO, COM 600MM DE DIAMETRO INT.,40MM DE ESPESSURA, COM ALTURA DE 150MM</t>
  </si>
  <si>
    <t>FUNDO PARA CAIXA DE INSPECAO COM DIAMETRO DE 600MM</t>
  </si>
  <si>
    <t>TOMADA ELETRICA 2P+T, 10A/250V, PADRAO BRASILEIRO, DE SOBREPOR</t>
  </si>
  <si>
    <t>ADAPTADOR DE PVC, PARA VALVULA DE PIA ELAVATORIO, DE 40MM</t>
  </si>
  <si>
    <t>ASSENTO PLASTICO, PARA VASO SANITARIO, TIPO POPULAR</t>
  </si>
  <si>
    <t>20060</t>
  </si>
  <si>
    <t>MAO-DE-OBRA DE ELETRICISTA DA CONSTRUCAOCIVIL, INCLUSIVE ENCARGOS SOCIAIS DESONERADOS</t>
  </si>
  <si>
    <t>20039</t>
  </si>
  <si>
    <t>MAO-DE-OBRA DE BOMBEIRO HIDRAULICO DA CONSTRUCAO CIVIL, INCLUSIVE ENCARGOS SOCIAIS DESONERADOS</t>
  </si>
  <si>
    <t>20131</t>
  </si>
  <si>
    <t>MAO-DE-OBRA DE SERRALHEIRO DA CONSTRUCAOCIVIL, INCLUSIVE ENCARGOS SOCIAIS DESONERADOS</t>
  </si>
  <si>
    <t>31011</t>
  </si>
  <si>
    <t>59.003.0010-B PINUS,PECA 1" X 12" E 1" X 9"</t>
  </si>
  <si>
    <t>30245</t>
  </si>
  <si>
    <t>11.001.0001-B CONCRETO FCK 10MPA</t>
  </si>
  <si>
    <t>30246</t>
  </si>
  <si>
    <t>11.001.0005-B CONCRETO FCK 15MPA</t>
  </si>
  <si>
    <t>30254</t>
  </si>
  <si>
    <t>11.002.0013-B PREPARO CONCR. BETON. 320L; 2,0M3/H</t>
  </si>
  <si>
    <t>30270</t>
  </si>
  <si>
    <t>11.002.0035-B LANCAMENTO CONC.S/ARM.2,0M3/H, HORIZ.</t>
  </si>
  <si>
    <t>30362</t>
  </si>
  <si>
    <t>13.301.0080-B PISO CIMENTADO ESP. 1,5CM</t>
  </si>
  <si>
    <t>02.015.0001-A</t>
  </si>
  <si>
    <t>CURVA 45§ OU 90§ DE CERAMICA PARA ESGOTOCOM JUNTA ARGAMASSA, DE 0100MM</t>
  </si>
  <si>
    <t>TIJOLO CERAMICO, FURADO, DE (10X20X20)CM</t>
  </si>
  <si>
    <t>TUBO DE ACO GALVANIZADO, COM COSTURA, PESADO, NBR 5580, DN=3/4"</t>
  </si>
  <si>
    <t>TUBO CERAMICO, ESGOTO SANITARIO, DE 100MM E COM COMPRIMENTO DE 1,00M</t>
  </si>
  <si>
    <t>20115</t>
  </si>
  <si>
    <t>MAO-DE-OBRA DE PEDREIRO, INCLUSIVE ENCARGOS SOCIAIS DESONERADOS</t>
  </si>
  <si>
    <t>LIGACAO DE AGUA CEDAE, PARA INSTALACAO NO PASSEIO, DE 3/4", VAZAO DE 3,0M3/H (VALOR TOTAL)</t>
  </si>
  <si>
    <t>30163</t>
  </si>
  <si>
    <t>07.002.0025-B ARGAMASSA CIM.,AREIA TRACO 1:3,PREPAROMECANICO</t>
  </si>
  <si>
    <t>30403</t>
  </si>
  <si>
    <t>15.071.0012-B LIGACAO AGUAS PLUVIAIS OU DOMICILIARES</t>
  </si>
  <si>
    <t>05.001.0147-A</t>
  </si>
  <si>
    <t>ARRANCAMENTO DE GRADES,GRADIS,ALAMBRADOS,CERCAS E PORTOES</t>
  </si>
  <si>
    <t>05.001.0138-A</t>
  </si>
  <si>
    <t>ARRANCAMENTO DE TUBULACAO DE FERRO GALVANIZADO,SEM ESCAVACAO OU RASGO EM ALVENARIA</t>
  </si>
  <si>
    <t>05.001.0002-B</t>
  </si>
  <si>
    <t>DEMOLICAO MANUAL DE CONCRETO ARMADO COMPREENDENDO PILARES,VIGAS E LAJES,EM ESTRUTURA APRESENTANDO POSICAO ESPECIAL,INCLU SIVE EMPILHAMENTO LATERAL DENTRO DO CANTEIRO DE SERVICO (OBS.:3%- DESGASTE DE FERRAMENTAS E EPI).</t>
  </si>
  <si>
    <t>05.002.0001-A</t>
  </si>
  <si>
    <t>DEMOLICAO,COM EQUIPAMENTO DE AR COMPRIMIDO,DE PISOS OU PAVIMENTOS DE CONCRETO SIMPLES,INCLUSIVE EMPILHAMENTO LATERAL DEN TRO DO CANTEIRO DE SERVICO</t>
  </si>
  <si>
    <t>30089</t>
  </si>
  <si>
    <t>05.002.0010-B DEMOLICAO PAVIMENT.CONCR., ESP. 20CM</t>
  </si>
  <si>
    <t>30088</t>
  </si>
  <si>
    <t>05.002.0009-B DEMOLICAO PAVIMENT.CONCR., ESP. 15CM</t>
  </si>
  <si>
    <t>05.001.0070-A</t>
  </si>
  <si>
    <t>REMOCAO DE PAVIMENTACAO DE LAJOTAS DE CONCRETO,ALTAMENTE VIBRADO,INTERTRAVADO,PRE-FABRICADO</t>
  </si>
  <si>
    <t>05.001.0142-A</t>
  </si>
  <si>
    <t>ARRANCAMENTO DE MEIOS-FIOS,DE GRANITO OU CONCRETO,RETOS OU CURVOS,INCLUSIVE EMPILHAMENTO LATERAL DENTRO DO CANTEIRO DE S ERVICO (OBS.:3%-DESGASTE DE FERRAMENTAS E EPI).</t>
  </si>
  <si>
    <t>05.001.0146-A</t>
  </si>
  <si>
    <t>ARRANCAMENTO DE BANCADA DE PIA/LAVATORIO OU BANCA SECA DE ATE 1,00M DE ALTURA E ATE 0,80M DE LARGURA</t>
  </si>
  <si>
    <t>09.005.0115-A</t>
  </si>
  <si>
    <t>PODA DE ARVORES,LIMPEZA DE GALHOS SECOS E RETIRADA DE PARASITAS</t>
  </si>
  <si>
    <t>20133</t>
  </si>
  <si>
    <t>MAO-DE-OBRA DE SERVENTE PARA SERVICOS DECONSERVACAO, INCLUSIVE ENCARGOS SOCIAISDESONERADOS</t>
  </si>
  <si>
    <t>30415</t>
  </si>
  <si>
    <t>19.004.0004-D CAMINHAO CARROC. FIXA, 7,5T (CF)</t>
  </si>
  <si>
    <t>01.001.0078-A</t>
  </si>
  <si>
    <t>PERFURACAO MANUAL DE SOLO,A TRADO ACIMA DE 10" (OBS.:3% - DESGASTE DE FERRAMENTAS E EPI).</t>
  </si>
  <si>
    <t>11.003.0006-A</t>
  </si>
  <si>
    <t>CONCRETO DOSADO RACIONALMENTE PARA UMA RESISTENCIA CARACTERISTICA A COMPRESSAO DE 30MPA,INCLUSIVE MATERIAIS,TRANSPORTE,P REPARO COM BETONEIRA,LANCAMENTO E ADENSAMENTO</t>
  </si>
  <si>
    <t>30260</t>
  </si>
  <si>
    <t>11.002.0023-B LANCAMENTO CONC.C/ARM.2,0M3/H,HORIZ/VERT</t>
  </si>
  <si>
    <t>30249</t>
  </si>
  <si>
    <t>11.001.0008-B CONCRETO FCK 30MPA</t>
  </si>
  <si>
    <t>11.009.0013-A</t>
  </si>
  <si>
    <t>BARRA DE ACO CA-50,COM SALIENCIA OU MOSSA,COEFICIENTE DE CONFORMACAO SUPERFICIAL MINIMO (ADERENCIA) IGUAL A 1,5,DIAMETRO DE 6,3MM,DESTINADA A ARMADURA DE CONCRETO ARMADO,10% DE PERDAS DE PONTAS E ARAME 18.FORNECIMENTO</t>
  </si>
  <si>
    <t>ACO CA-50, ESTIRADO, PRECO DE FABRICA, NO DIAMETRO DE 06,3MM</t>
  </si>
  <si>
    <t>ARAME RECOZIDO N§ 18</t>
  </si>
  <si>
    <t>11.009.0014-B</t>
  </si>
  <si>
    <t>BARRA DE ACO CA-50,COM SALIENCIA OU MOSSA,COEFICIENTE DE CONFORMACAO SUPERFICIAL MINIMO (ADERENCIA) IGUAL A 1,5,DIAMETRO DE 8 A 12,5MM,DESTINADA A ARMADURA DE CONCRETO ARMADO,10%DE PERDAS DE PONTAS E ARAME 18.FORNECIMENTO</t>
  </si>
  <si>
    <t>ACO CA-50, ESTIRADO, PRECO DE FABRICA, NO DIAMETRO DE 12,5MM</t>
  </si>
  <si>
    <t>ACO CA-50, ESTIRADO, PRECO DE FABRICA, NO DIAMETRO DE 10,0MM</t>
  </si>
  <si>
    <t>ACO CA-50, ESTIRADO, PRECO DE FABRICA, NO DIAMETRO DE 08,0MM</t>
  </si>
  <si>
    <t>11.009.0011-A</t>
  </si>
  <si>
    <t>FIO DE ACO CA-60,REDONDO,COM SALIENCIA OU MOSSA,COEFICIENTE DE CONFORMACAO SUPERFICIAL MINIMO(ADERENCIA)IGUAL A 1,5,DIAM ETRO ENTRE 4,2 A 5MM,DESTINADO A ARMADURA DE PECAS DE CONCRETO ARMADO,COMPREENDENDO 10% DE PERDAS DE PONTAS E ARAME 18.F ORNECIMENTO</t>
  </si>
  <si>
    <t>ACO CA-60, ESTIRADO, PRECO DE FABRICA, NO DIAMETRO DE 05,0MM</t>
  </si>
  <si>
    <t>ACO CA-60, ESTIRADO, PRECO DE FABRICA, NO DIAMETRO DE 04,2MM</t>
  </si>
  <si>
    <t>11.003.0020-A</t>
  </si>
  <si>
    <t>CONCRETO PARA CAMADAS PREPARATORIAS COM 180KG DE CIMENTO POR M3 DE CONCRETO,INCLUSIVE MATERIAIS,TRANSPORTE,PRODUCAO,LANC AMENTO E ADENSAMENTO</t>
  </si>
  <si>
    <t>PEDRA BRITADA 1 E 2 (MEDIA), PARA REGIAOMETROPOLITANA DO RIO DE JANEIRO</t>
  </si>
  <si>
    <t>AREIA LAVADA, GROSSA, PARA REGIAO METROPOLITANA DO RIO DE JANEIRO</t>
  </si>
  <si>
    <t>30271</t>
  </si>
  <si>
    <t>11.002.0036-B LANCAMENTO CONC.S/ARM.1,5M3/H, HORIZ.</t>
  </si>
  <si>
    <t>30255</t>
  </si>
  <si>
    <t>11.002.0014-B PREPARO CONCR. BETON. 320L; 1,5M3/H</t>
  </si>
  <si>
    <t>11.025.0012-A</t>
  </si>
  <si>
    <t>CONCRETO BOMBEADO,FCK=30MPA,COMPREENDENDO O FORNECIMENTO DE CONCRETO IMPORTADO DE USINA,COLOCACAO NAS FORMAS,ESPALHAMENT O,ADENSAMENTO MECANICO E ACABAMENTO</t>
  </si>
  <si>
    <t>CONCRETO BOMBEAVEL, UTILIZANDO BRITA 1,DE 30MPA</t>
  </si>
  <si>
    <t>20046</t>
  </si>
  <si>
    <t>MAO-DE-OBRA DE CARPINTEIRO DE FORMA DE CONCRETO, INCLUSIVE ENCARGOS SOCIAIS DESONERADOS</t>
  </si>
  <si>
    <t>20015</t>
  </si>
  <si>
    <t>MAO-DE-OBRA DE ARMADOR DE CONCRETO ARMADO, INCLUSIVE ENCARGOS SOCIAIS DESONERADOS</t>
  </si>
  <si>
    <t>INSTALACAO AVULSA DE BOMBA DE CONCRETO</t>
  </si>
  <si>
    <t>30731</t>
  </si>
  <si>
    <t>19.007.0013-E VIBRADOR IMERSAO ELETR. 2CV (CI)</t>
  </si>
  <si>
    <t>30730</t>
  </si>
  <si>
    <t>19.007.0013-C VIBRADOR IMERSAO ELETR. 2CV (CP)</t>
  </si>
  <si>
    <t>11.004.0023-B</t>
  </si>
  <si>
    <t>FORMAS DE MADEIRA DE 3¦ PARA MOLDAGEM DE PECAS DE CONCRETO ARMADO COM PARAMENTOS PLANOS,EM LAJES,VIGAS,PAREDES,ETC,SERVI NDO A MADEIRA 1 VEZ,INCLUSIVE DESMOLDAGEM,EXCLUSIVE ESCORAMENTO</t>
  </si>
  <si>
    <t>PINUS, EM PECAS DE 2,50X30,00CM (1"X12")</t>
  </si>
  <si>
    <t>30408</t>
  </si>
  <si>
    <t>17.025.0040-B PINTURA C/EMULSAO OLEOSA</t>
  </si>
  <si>
    <t>11.009.0015-B</t>
  </si>
  <si>
    <t>BARRA DE ACO CA-50,COM SALIENCIA OU MOSSA,COEFICIENTE DE CONFORMACAO SUPERFICIAL MINIMO (ADERENCIA) IGUAL A 1,5,DIAMETRO ACIMA DE 12,5MM,DESTINADA A ARMADURA DE CONCRETO ARMADO,10%DE PERDAS DE PONTAS E ARAME 18.FORNECIMENTO</t>
  </si>
  <si>
    <t>ACO CA-50, ESTIRADO, PRECO DE FABRICA, NO DIAMETRO DE 25,0MM</t>
  </si>
  <si>
    <t>ACO CA-50, ESTIRADO, PRECO DE FABRICA, NO DIAMETRO DE 20,0MM</t>
  </si>
  <si>
    <t>ACO CA-50, ESTIRADO, PRECO DE FABRICA, NO DIAMETRO DE 16,0MM</t>
  </si>
  <si>
    <t>11.011.0030-B</t>
  </si>
  <si>
    <t>CORTE,DOBRAGEM,MONTAGEM E COLOCACAO DE FERRAGENS NAS FORMAS,ACO CA-50,EM BARRAS REDONDAS,COM DIAMETRO DE 8 A 12,5MM (OBS.:3%-DESGASTE DE FERRAMENTAS E EPI).</t>
  </si>
  <si>
    <t>11.011.0031-B</t>
  </si>
  <si>
    <t>CORTE,DOBRAGEM,MONTAGEM E COLOCACAO DE FERRAGENS NAS FORMAS,ACO CA-50,EM BARRAS REDONDAS,COM DIAMETRO ACIMA DE 12,5MM</t>
  </si>
  <si>
    <t>03.016.0005-B</t>
  </si>
  <si>
    <t>ESCAVACAO MECANICA DE VALA NAO ESCORADA EM MATERIAL DE 1¦CATEGORIA COM PEDRAS,INSTALACOES PREDIAIS OU OUTROS REDUTORES D E PRODUTIVIDADE OU CAVAS DE FUNDACAO,ATE 1,50M DE PROFUNDIDADE,UTILIZANDO RETRO-ESCAVADEIRA,EXCLUSIVE ESGOTAMENTO</t>
  </si>
  <si>
    <t>30591</t>
  </si>
  <si>
    <t>19.005.0028-E RETRO-ESCAVADEIRA,MOTOR DIESEL 75CV (CI)</t>
  </si>
  <si>
    <t>30589</t>
  </si>
  <si>
    <t>19.005.0028-C RETRO-ESCAVADEIRA,MOTOR DIESEL 75CV (CP)</t>
  </si>
  <si>
    <t>03.011.0015-B</t>
  </si>
  <si>
    <t>REATERRO DE VALA/CAVA COM MATERIAL DE BOA QUALIDADE,UTILIZANDO VIBRO COMPACTADOR PORTATIL,EXCLUSIVE MATERIAL</t>
  </si>
  <si>
    <t>20111</t>
  </si>
  <si>
    <t>MAO-DE-OBRA DE OPERADOR DE MAQUINA (TRATOR, ETC.), INCLUSIVE ENCARGOS SOCIAIS DESONERADOS</t>
  </si>
  <si>
    <t>30694</t>
  </si>
  <si>
    <t>19.006.0030-E SOQUETE VIBRATORIO 78KG; 2,5CV (CI)</t>
  </si>
  <si>
    <t>30693</t>
  </si>
  <si>
    <t>19.006.0030-C SOQUETE VIBRATORIO 78KG; 2,5CV (CP)</t>
  </si>
  <si>
    <t>03.010.0035-A</t>
  </si>
  <si>
    <t>MATERIAL DE 1¦ CATEGORIA PARA ATERROS,COMPREENDENDO:ESCAVACAO,CARGA,TRANSPORTE A 15KM EM CAMINHAO BASCULANTE E DESCARGA, CONSIDERANDO O VOLUME NECESSARIO A EXECUCAO DE 1,00M3 DE MATERIAL COMPACTADO</t>
  </si>
  <si>
    <t>30595</t>
  </si>
  <si>
    <t>19.005.0030-C PA CARREGADEIRA,MOTOR DIESEL 100CV,CAPACIDADE RASA 1,3M3 (CP)</t>
  </si>
  <si>
    <t>30576</t>
  </si>
  <si>
    <t>19.005.0019-E TRATOR ESTEIRAS C/LAMINA 2330KG (CI)</t>
  </si>
  <si>
    <t>30574</t>
  </si>
  <si>
    <t>19.005.0019-C TRATOR ESTEIRAS C/LAMINA 2330KG (CP)</t>
  </si>
  <si>
    <t>30429</t>
  </si>
  <si>
    <t>19.004.0014-C CAMINHAO BASCUL. NO TOCO 8 A 10M3 (CP)</t>
  </si>
  <si>
    <t>03.010.0100-A</t>
  </si>
  <si>
    <t>COMPACTACAO DE ATERRO,EM CAMADAS DE 30CM,UTILIZANDO COMPACTADOR PNEUMATICO(SAPO),INCLUSIVE COMPRESSOR</t>
  </si>
  <si>
    <t>30808</t>
  </si>
  <si>
    <t>19.011.0002-D COMPRESSOR AR 170PCM 40CV (CF)</t>
  </si>
  <si>
    <t>30807</t>
  </si>
  <si>
    <t>19.011.0002-C COMPRESSOR AR 170PCM 40CV (CP)</t>
  </si>
  <si>
    <t>30624</t>
  </si>
  <si>
    <t>19.006.0001-E SOCADOR PNEUMATICO 18,5 KG (CI)</t>
  </si>
  <si>
    <t>30623</t>
  </si>
  <si>
    <t>19.006.0001-C SOCADOR PNEUMATICO 18,5KG (CP)</t>
  </si>
  <si>
    <t>06.100.0170-A</t>
  </si>
  <si>
    <t>GEOCOMPOSTO PARA DRENAGEM,VERTICAL,FORMADO POR GEOMANTA TRIDIMENSIONAL COM 16MM DE ESPESSURA,FABRICADO COM FILAMENTOS DE POLIPROPILENO TERMOSOLDADA A DOIS GEOTEXTEIS NAO TECIDO DEPOLIESTER E TUBO DRENO PERFURADO.FORNECIMENTO E COLOCACAO</t>
  </si>
  <si>
    <t>GEOCOMPOSTO P/DREN.C/NUCLEO DRENANTE, C/FILAM.GROS.DE POLIPROP., C/ESPES.16MM EC/DOIS GEOT.NAO TEC.POLIESTER PONT.CONTR</t>
  </si>
  <si>
    <t>06.085.0020-A</t>
  </si>
  <si>
    <t>CAMADA VERTICAL DRENANTE FEITA COM PEDRA BRITADA, INCLUSIVE FORNECIMENTO DO MATERIAL</t>
  </si>
  <si>
    <t>06.003.0010-A</t>
  </si>
  <si>
    <t>CALHA MEIO-TUBO CIRCULAR DE CONCRETO VIBRADO,DIAMETRO INTERNO DE 300MM,INCLUSIVE ACERTO DE FUNDO DE VALA.FORNECIMENTO E ASSENTAMENTO (OBS.:3%-DESGASTE DE FERRAMENTAS E EPI).</t>
  </si>
  <si>
    <t>CALHA DE CONCRETO SIMPLES, PARA ESCOAMENTO DE AGUAS PLUVIAIS, TIPO PONTA E BOLSA, DE 0300MM</t>
  </si>
  <si>
    <t>20150</t>
  </si>
  <si>
    <t>MAO-DE-OBRA DE TOPOGRAFO B (SERVICOS DECAMPO),INCLUSIVE ENCARGOS SOCIAIS DESONERADOS</t>
  </si>
  <si>
    <t>30164</t>
  </si>
  <si>
    <t>07.002.0030-B ARGAMASSA CIM.,AREIA TRACO 1:4,PREPAROMECANICO</t>
  </si>
  <si>
    <t>06.100.0190-A</t>
  </si>
  <si>
    <t>GEOMANTA PARA REVESTIMENTO DE TALUDE SUJEITO A EROSAO SUPERFICIAL COM ESPESSURA DE 10MM,FLEXIVEL,TRIDIMENSIONAL,COM MAIS DE 90% DE VAZIOS,INCLUSIVE ACO CA-50,VEGETACAO,ADUBO E REGA,EXCLUSIVE LIMPEZA E RASPAGEM DO TERRENO.FORNECIMENTO E COLO CACAO</t>
  </si>
  <si>
    <t>GEOMANTA P/REVESTIMENTOS DE TALUDE, C/ESPES.10MM, C/FILAM.GROSSOS DE POLIPROP.,C/MAIS DE 90% DE VAZIOS</t>
  </si>
  <si>
    <t>ACO CA-50, ESTIRADO, PRECO DE REVENDEDOR, NO DIAMETRO DE 08,0MM</t>
  </si>
  <si>
    <t>30440</t>
  </si>
  <si>
    <t>19.004.0020-E CAMINHAO TANQUE 6000L (CI)</t>
  </si>
  <si>
    <t>30438</t>
  </si>
  <si>
    <t>19.004.0020-C CAMINHAO TANQUE 6000L (CP)</t>
  </si>
  <si>
    <t>06.015.0010-A</t>
  </si>
  <si>
    <t>POCO DE VISITA EM ALVENARIA DE BLOCOS DE CONCRETO(20X20X40CM),PAREDES 0,20M DE ESP.C/1,20X1,20X1,40M,P/COLETOR AGUAS PLU VIAIS 0,40 A 0,70M DE DIAM.UTILIZANDO ARG.CIM.AREIA,TRACO 1:4,SENDO PAREDES CHAPISCADAS E REVESTIDAS INTERNAMENTE C/ARG. ,ENCHIMENTO BLOCOS E BASE EM CONCRETO SIMPLES,TAMPA DE CONCR.ARMADO,DEGRAUS FERRO FUNDIDO,INCL.FORN.TODOS OS MATERIAIS</t>
  </si>
  <si>
    <t>DEGRAU DE FERRO FUNDIDO, PARA CHAMINE DEPOCO DE VISITA, DE 7KG</t>
  </si>
  <si>
    <t>ACO CA-25, ESTIRADO, PRECO DE REVENDEDOR, NO DIAMETRO DE 10,0MM</t>
  </si>
  <si>
    <t>ACO CA-25, ESTIRADO, PRECO DE REVENDEDOR, NO DIAMETRO DE 08,0MM</t>
  </si>
  <si>
    <t>30596</t>
  </si>
  <si>
    <t>19.005.0030-D PA CARREGADEIRA,MOTOR DIESEL 100CV,CAPACIDADE RASA 1,3M3 (CF)</t>
  </si>
  <si>
    <t>30353</t>
  </si>
  <si>
    <t>13.001.0030-B EMBOCO ARG. CIM. E AREIA TRACO 1:4</t>
  </si>
  <si>
    <t>30348</t>
  </si>
  <si>
    <t>12.005.0135-B ALVENARIA CXS.ENTERRADAS 1,60M, BL.CONCR</t>
  </si>
  <si>
    <t>30282</t>
  </si>
  <si>
    <t>11.004.0021-B FORMAS MADEIRA PARAM. PLANOS, 2 VEZES</t>
  </si>
  <si>
    <t>06.016.0002-A</t>
  </si>
  <si>
    <t>TAMPAO COMPLETO DE F§F§,COM 120 A 125KG,PARA POCO DE VISITA OU CAIXA DE AREIA,PADRAO CEDAE(C-3),CARGA MINIMA PARA TESTE 25T,RESISTENCIA MAXIMA DE ROMPIMENTO 31,25T E FLECHA RESIDUAL MAXIMA DE 17MM,ASSENTADO COM ARGAMASSA DE CIMENTO E AREIA, NO TRACO 1:4 EM VOLUME.FORNECIMENTO E ASSENTAMENTO</t>
  </si>
  <si>
    <t>TAMPAO DE FERRO FUNDIDO, CIRCULAR, P/POCO DE VISITA OU CAIXA DE AREIA NA RUA, DE125KG, PADRAO CEDAE (ESGOTO) P/CALCADA</t>
  </si>
  <si>
    <t>06.272.0005-A</t>
  </si>
  <si>
    <t>TUBO PVC (NBR-7362), PARA ESGOTO SANITARIO, COM DIAMETRO NOMINAL DE 250MM, INCLUSIVE ANEL DE BORRACHA. FORNECIMENTO</t>
  </si>
  <si>
    <t>ANEL DE BORRACHA, PARA TUBO DE PVC-ESGOTO REFORCADO, LINHA INFRA, DE 250MM</t>
  </si>
  <si>
    <t>06.001.0245-A</t>
  </si>
  <si>
    <t>ASSENTAMENTO DE TUBULACAO DE PVC COM JUNTA ELASTICA,PARA COLETOR DE ESGOTOS,COM DIAMETRO NOMINAL DE 250MM,ATERRO E SOCA ATE A ALTURA DA GERATRIZ SUPERIOR DO TUBO,CONSIDERANDO O MATERIAL DA PROPRIA ESCAVACAO,EXCLUSIVE TUBO E JUNTA (OBS.:3%-DESGASTE DE FERRAMENTAS E EPI).</t>
  </si>
  <si>
    <t>20022</t>
  </si>
  <si>
    <t>MAO-DE-OBRA DE ASSENTADOR DE TUBOS (REDES SUBTERRANEAS), INCLUSIVE ENCARGOS SOCIAIS DESONERADOS</t>
  </si>
  <si>
    <t>30031</t>
  </si>
  <si>
    <t>03.013.0001-B REATERRO VALA/CAVA COMPACT. MACO 30CM</t>
  </si>
  <si>
    <t>06.004.0060-A</t>
  </si>
  <si>
    <t>TUBO DE CONCRETO ARMADO,CLASSE PA-1(NBR 8890/03),PARA GELERIAS DE AGUAS PLUVIAIS,COM DIAMETRO DE 300MM,ATERRO E SOCA ATE A ALTURA DA GERATRIZ SUPERIOR DO TUBO,CONSIDERANDO O MATERIAL DA PROPRIA ESCAVACAO,INCLUSIVE FORNECIMENTO DO MATERIAL P ARA REJUNTAMENTO COM ARGAMASSA DE CIMENTO E AREIA,NO TRACO 1:4 E ACERTO DE FUNDO DE VALA.FORNECIMENTO E ASSENTAMENTO (OBS.:3%-DESGASTE DE FERRAMENTAS E EPI).</t>
  </si>
  <si>
    <t>TUBO DE CONCRETO ARMADO, PA1, AGUA, 300MM</t>
  </si>
  <si>
    <t>30523</t>
  </si>
  <si>
    <t>19.004.0080-C GUINDAUTO 3,5T, ALCANCE 5,90M (CP)</t>
  </si>
  <si>
    <t>06.015.0070-A</t>
  </si>
  <si>
    <t>GRELHA E CAIXILHO DE CONCRETO ARMADO,SENDO AS DIMENSOES EXTERNAS DE 0,30X0,90M(GRELHA) E 1,00X0,40M(CAIXILHO),PARA CAIXA DE RALO,UTILIZANDO ARGAMASSA DE CIMENTO E AREIA,NO TRACO 1:4.FORNECIMENTO E COLOCACAO</t>
  </si>
  <si>
    <t>CHAPA DE MADEIRA COMPENSADA, RESINADA, COM ESPESSURA DE 14MM</t>
  </si>
  <si>
    <t>30917</t>
  </si>
  <si>
    <t>55.001.0013-B PECA DE PINUS, P/M3</t>
  </si>
  <si>
    <t>30309</t>
  </si>
  <si>
    <t>11.011.0030-B CORTE ACO CA-50B DIAM.ENTRE 8MM A 12,5MM</t>
  </si>
  <si>
    <t>30302</t>
  </si>
  <si>
    <t>11.009.0014-B BARRA ACO CA-50,DIAM.DE 8 A 12,5MM</t>
  </si>
  <si>
    <t>30275</t>
  </si>
  <si>
    <t>11.002.0043-B LANCAMENTO CONC.C/ARM. 2,0M3/H, HORIZ.</t>
  </si>
  <si>
    <t>08.019.0009-A</t>
  </si>
  <si>
    <t>JUNTA DE RETRACAO,SERRADA COM DISCO DE DIAMANTE,PARA PAVIMENTOS DE PLACAS DE CONCRETO,COM 5CM DE PROFUNDIDADE</t>
  </si>
  <si>
    <t>30678</t>
  </si>
  <si>
    <t>19.006.0022-E MAQUINA DE JUNTAS 8,25CV GASOLINA (CI)</t>
  </si>
  <si>
    <t>30676</t>
  </si>
  <si>
    <t>19.006.0022-C MAQUINA DE JUNTAS 8,25CV GASOLINA (CP)</t>
  </si>
  <si>
    <t>13.383.0003-A</t>
  </si>
  <si>
    <t>JUNTA IMPERMEABILIZANTE DE HIDROASFALTO,CIMENTO E AREIA,NO TRACO 1:1:3 COM 2X2,5CM</t>
  </si>
  <si>
    <t>HIDRO ASFALTO, EM EMBALAGENS DE 18KG</t>
  </si>
  <si>
    <t>11.048.0020-B</t>
  </si>
  <si>
    <t>CONCRETO IMPORTADO DE USINA,DOSADO RACIONALMENTE PARA RESISTENCIA CARACTERISTICA A COMPRESSAO DE 20MPA,INCLUSIVE TRANSPO RTE HORIZONTAL ATE 20,00M EM CARRINHOS,ADENSAMENTO E ACABAMENTO</t>
  </si>
  <si>
    <t>REVESTIMENTO DE PISO COM LADRILHO HIDRAULICO,20X20CM,ASSENTES CONFORME ITEM 13.330.0010</t>
  </si>
  <si>
    <t>11130</t>
  </si>
  <si>
    <t>LADRILHO HIDRAULICO TRATADO 25 DADOS (20X20)CM, NA COR CINZA</t>
  </si>
  <si>
    <t>OXIDO DE FERRO</t>
  </si>
  <si>
    <t>CIMENTO BRANCO</t>
  </si>
  <si>
    <t>20087</t>
  </si>
  <si>
    <t>MAO-DE-OBRA DE LADRILHEIRO, INCLUSIVE ENCARGOS SOCIAIS DESONERADOS</t>
  </si>
  <si>
    <t>30153</t>
  </si>
  <si>
    <t>07.001.0130-B ARGAMASSA CIM.,SAIBRO,AREIA 1:3:3,PREPARO MANUAL</t>
  </si>
  <si>
    <t>30129</t>
  </si>
  <si>
    <t>07.001.0010-B PASTA DE CIMENTO COMUM</t>
  </si>
  <si>
    <t>13.332.0010-a</t>
  </si>
  <si>
    <t>13.333.0010-a</t>
  </si>
  <si>
    <t xml:space="preserve">Revestimento de piso com ceramica tatil direcional,(ladrilho hidraulico),para pessoas com necessidades especificas,assen tes sobre superficie em osso,conforme item 13.330.0010 </t>
  </si>
  <si>
    <t>12.003.0115-A</t>
  </si>
  <si>
    <t>ALVENARIA DE TIJOLOS CERAMICOS FURADOS 10X20X30CM,COMPLEMENTADA COM 6% DE TIJOLOS DE 10X20X20CM,ASSENTES COM ARGAMASSA D E CIMENTO E SAIBRO,NO TRACO 1:8,EM PAREDES DE MEIA VEZ(0,10M) DE SUPERFICIE CORRIDA,ATE 3,00M DE ALTURA E MEDIDA PELA AR EA REAL</t>
  </si>
  <si>
    <t>TIJOLO CERAMICO, FURADO, DE (10X20X30)CM</t>
  </si>
  <si>
    <t>30179</t>
  </si>
  <si>
    <t>07.006.0025-B ARGAMASSA CIM.,SAIBRO TRACO 1:8,PREPAROMECANICO</t>
  </si>
  <si>
    <t>13.002.0011-B</t>
  </si>
  <si>
    <t>REVESTIMENTO EXTERNO,DE UMA VEZ,COM ARGAMASSA DE CIMENTO,SAIBRO MACIO E AREIA FINA,NO TRACO 1:3:3,COM ESPESSURA DE 2,5CM ,INCLUSIVE CHAPISCO DE CIMENTO E AREIA,NO TRACO 1:3 (OBS.:3%-DESGASTE DE FERRAMENTAS E EPI).</t>
  </si>
  <si>
    <t>30350</t>
  </si>
  <si>
    <t>13.001.0010-B CHAPISCO SUPERF. CONCR./ALVEN.,COM ARGAMASSA DE CIMENTO E AREIA NO TRACO 1:3</t>
  </si>
  <si>
    <t>30182</t>
  </si>
  <si>
    <t>07.007.0020-B ARGAMASSA CIM.,SAIBRO,AREIA 1:3:3,PREPARO MECANICO</t>
  </si>
  <si>
    <t>ACO CA-60, ESTIRADO, PRECO DE REVENDEDOR, NO DIAMETRO DE 04,2MM</t>
  </si>
  <si>
    <t>09.015.0074-A</t>
  </si>
  <si>
    <t>CONTRAVENTAMENTO DE ALAMBRADO COM TUBOS DE FERRO GALVANIZADO(EXTERN.E INTERNAMENTE),C/DIAMETRO INTERNO DE 2" E ESPESSURA DE PAREDE DE 1/8".FORNECIMENTO E COLOCACAO</t>
  </si>
  <si>
    <t>TUBO DE ACO GALVANIZADO, COM COSTURA, PESADO, NBR 5580, DN=2"</t>
  </si>
  <si>
    <t>09.020.0076-A</t>
  </si>
  <si>
    <t>TELA DE ARAME GALVANIZADO N§12,MALHA LOSANGO DE 5X5CM,PRESA A ARMACAO DE TUBO DE FERRO GALVANIZADO.FORNECIMENTO E COLOCA CAO</t>
  </si>
  <si>
    <t>09.020.0090-A</t>
  </si>
  <si>
    <t>TELA EM POLIETILENO DE ALTA DENSIDADE,100% VIRGEM,COM MALHA DE (5X5)CM,COM RESISTENCIA A TRACAO DE 250KGF.FORNECIMENTO E COLOCACAO</t>
  </si>
  <si>
    <t>TELA POLIETILENO DE ALTA DENSIDADE, MALHA DE (5X5)CM, ESTABILIZADO CONTRA RAIOSULTRA-VIOLETA</t>
  </si>
  <si>
    <t>14.002.0071-A</t>
  </si>
  <si>
    <t>PORTAO DE CHAPA DE FERRO GALVANIZADO,COM ESPESSURA DE 0,5MM,COM ALTURA ENTRE 2M E 3M E AREA TOTAL DE 6M2 A 9M2,EXCLUSIVE FECHADURA.FORNECIMENTO E COLOCACAO</t>
  </si>
  <si>
    <t>CHAPA DE ACO GALVANIZADO, N§26 (0,50MM)</t>
  </si>
  <si>
    <t>20004</t>
  </si>
  <si>
    <t>MAO-DE-OBRA DE AJUDANTE DA CONSTRUCAO CIVIL, INCLUSIVE ENCARGOS SOCIAIS DESONERADOS</t>
  </si>
  <si>
    <t>14.007.0324-a</t>
  </si>
  <si>
    <t>14.007.0302-a</t>
  </si>
  <si>
    <t>14.002.0070-A</t>
  </si>
  <si>
    <t>PORTAO DE FERRO DE UMA OU DUAS FOLHAS COM ALTURA DE 1,00 A 1,50M E LARGURA DE 1,00 A 3,00M,FORMADO P/BARRAS VERTICAIS DE 1.1/4"X1/4",ESPACADAS DE 12,5CM,CONTORNO E MARCOS EM BARRASDE 1.1/4"X3/8",TENDO AO CENTRO UMA FAIXA DE CHAPA DE FERRO GALVANIZADO N§16,DE 20CM DE ALTURA,COM FECHO PARA COLOCACAODE CADEADO,EXCLUSIVE ESTE.FORNECIMENTO E COLOCACAO</t>
  </si>
  <si>
    <t>14.007.0324-A</t>
  </si>
  <si>
    <t>CADEADO DE 50MM,C/DUPLA TRAVA,DISCO DE SEGURANCA ANTI-GAZUA,CORPO DE LATAO MACICO,CILINDRO DE LATAO TREFILADO.FORNECIMEN TO</t>
  </si>
  <si>
    <t>CADEADO COM DUPLA TRAVA, DISCO DE SEGURANCA ANTI GAZUA, CORPO DE LATAO MACICO, CILINDRO DE LATAO TREFILADO, DE 50MM</t>
  </si>
  <si>
    <t>BROCA COM PONTA WIDIA, TIPO ENCAIXE, SDSMAX, DIAMETRO 13MM OU 1/2", COMPRIMENTOUTIL 200MM E TOTAL 340MM</t>
  </si>
  <si>
    <t>MARTELO ELETRICO PERFURADOR ROTATIVO E DE IMPACTO, POTENCIA DE 750W, 3900 IMPACTOS POR MIN. P/PERF.DE CONCR.ATE 1" DIAM.</t>
  </si>
  <si>
    <t>TARIFA DE ENERGIA ELETRICA, TIPO COMERCIAL</t>
  </si>
  <si>
    <t>15.019.0050-A</t>
  </si>
  <si>
    <t>TOMADA ELETRICA 2P+T,10A/250V,PADRAO BRASILEIRO,DE EMBUTIR,COM PLACA 4"X2".FORNECIMENTO E COLOCACAO. (OBS.:3%-DESGASTE DE FERRAMENTAS E EPI).</t>
  </si>
  <si>
    <t>TOMADA ELETRICA 2P+T, 10A/250V, PADRAO BRASILEIRO, DE EMBUTIR, COM PLACA 4"X2"</t>
  </si>
  <si>
    <t>15.019.0025-A</t>
  </si>
  <si>
    <t>INTERRUPTOR DE EMBUTIR COM 2 TECLAS SIMPLES FOSFORESCENTES E PLACA.FORNECIMENTO E COLOCACAO (OBS.:3%-DESGASTE DE FERRAMENTAS E EPI).</t>
  </si>
  <si>
    <t>INTERRUPTOR DE EMBUTIR, FOSFORESCENTE, COM PLACA, DE 2 TECLAS PARALELAS</t>
  </si>
  <si>
    <t>21.003.0057-A</t>
  </si>
  <si>
    <t>POSTE DE ACO,RETO,CONICO CONTINUO,ALTURA DE 9,00M,COM SAPATA.FORNECIMENTO</t>
  </si>
  <si>
    <t>POSTE DE ACO RETO, CONICO CONTINUO, COMSAPATA, COMPRIMENTO DE 9M</t>
  </si>
  <si>
    <t>21.020.0075-A</t>
  </si>
  <si>
    <t>LUMINARIA FECHADA COM LAMPADA DE DESCARGA,COM REATOR INTEGRADO,EM PONTA DE BRACO OU POSTE DE ACO CURVO ATE 10,00M DE ALT URA,EXCLUSIVE FORNECIMENTO DA LUMINARIA.COLOCACAO</t>
  </si>
  <si>
    <t>20005</t>
  </si>
  <si>
    <t>MAO-DE-OBRA DE AJUDANTE DE MONTADOR ELETROMECANICO (ILUMINACAO PUBLICA), INCLUSIVE ENCARGOS SOCIAIS DESONERADOS</t>
  </si>
  <si>
    <t>03.001.0001-B</t>
  </si>
  <si>
    <t>ESCAVACAO MANUAL DE VALA/CAVA EM MATERIAL DE 1¦ CATEGORIA (A(AREIA,ARGILA OU PICARRA),ATE 1,50M DE PROFUNDIDADE,EXCLUSIV E ESCORAMENTO E ESGOTAMENTO (OBS.:3% - DESGASTE DE FERRAMENTAS E EPI).</t>
  </si>
  <si>
    <t>21.023.0030-A</t>
  </si>
  <si>
    <t>NUCLEO SIMPLES P/LUMINARIAS DECORATIVAS LDRJ-07/09,EM ACO DE BAIXO TEOR DE CARBONO SAE 1010/1020 GALVANIZADO A FUSAO,INT ERNA E EXTERNAMENTE POR IMERSAO UNICA EM BANHO DE ZINCO,CONFORME NBR-7398 E 7400 DA ABNT,NUCLEO DIAM.INTERNO 68MM,C/PESC COCO DE 50MM DE ALTURA E DIAMETRO EXTERNO 48MM,CONFORME DESENHO A2-1824-PD E ESPECIFICACAO EM-RIOLUZ N§40.FORNECIMENTO</t>
  </si>
  <si>
    <t>BASE SIMPLES, PARA TOPO POSTE, EM ACO DEGALVANIZADO, PARA FIXACAO DE 1 LUMINARIA LDRJ-07 OU 09</t>
  </si>
  <si>
    <t>15.011.0084-A</t>
  </si>
  <si>
    <t>ENTRADA DE ENERGIA INDIVIDUAL PADRAO LIGHT,MEDICAO DIRETA,REDE SUBTERRANEA,DEMANDA ENTRE 8,0 E 23,3KVA,INCLUSIVE CAIXA S ECCIONADORA(CS100)E CAIXA TRANSPARENTE PARA MEDICAO(CTM),CAIXA DE DISJUNTOR POLIFASICO(CTP)E CAIXA DE DISJUNTOR TRIFASIC O(CDJ3)E DEMAIS MATERIAIS NECESSARIOS,EXCLUSIVE DISJUNTOR EFIOS DE ENTRADA E SAIDA (OBS.:3%-DESGASTE DE FERRAMENTAS E EPI).</t>
  </si>
  <si>
    <t>BOX DE ALUMINIO CURVO, DE 1.1/4"</t>
  </si>
  <si>
    <t>CABO SOLIDO DE COBRE ELETROLITICO NU, TEMPERA MOLE, CLASSE 2, SECAO CIRCULAR DE10,0 A 500,0MM2</t>
  </si>
  <si>
    <t>POSTE DE CONCRETO, C/SECAO CIRCULAR, C/07,00M DE COMPR., PADRAO ABNT, EXCLUSIVETRANSP., C/CARGA NOM.HORIZ.TOPO 100KGF</t>
  </si>
  <si>
    <t>ELETRODUTO DE PVC PRETO, RIGIDO ROSQUEAVEL, COM ROSCA EM AMBAS EXTREMIDADES, EMBARRAS DE 3 METROS, DE 3/4"</t>
  </si>
  <si>
    <t>ELETRODUTO DE PVC PRETO, RIGIDO ROSQUEAVEL, COM ROSCA EM AMBAS EXTREMIDADES, EMBARRAS DE 3 METROS, DE 1.1/4"</t>
  </si>
  <si>
    <t>CURVA 90§ DE PVC RIGIDO, ROSQUEAVEL, PARA ELETRODUTO, DE 1.1/4"</t>
  </si>
  <si>
    <t>LUVA DE PVC RIGIDO ROSQUEAVEL, P/ELETRODUTO, DE 1.1/4"</t>
  </si>
  <si>
    <t>CINTA GALVANIZADA, COM PARAFUSOS, DE 4"</t>
  </si>
  <si>
    <t>ARMACAO SECUNDARIA, COMPLETA, PARA 4 LINHAS</t>
  </si>
  <si>
    <t>HASTE TERRA, TIPO CANTONEIRA GALVANIZADA, DE 2,00M</t>
  </si>
  <si>
    <t>BUCHA E ARRUELA DE ALUMINIO PARA ELETRODUTO, DE 3/4"</t>
  </si>
  <si>
    <t>BUCHA E ARRUELA DE ALUMINIO PARA ELETRODUTO, DE 1.1/4"</t>
  </si>
  <si>
    <t>CONECTOR PARAFUSO FENDIDO, TIPO SPLIT BOLT, FABRICADO EM COBRE, PARA CABO DE 120MM2</t>
  </si>
  <si>
    <t>CAIXA TRANSPARENTE PARA MEDICAO DIRETA(CTM), PARA ENTRADA DE ENERGIA INDIVIDUAL, PADRAO LIGHT</t>
  </si>
  <si>
    <t>CAIXA TRANSPARENTE POLIFASICA (CTP), PARA ENTRADA DE ENERGIA INDIVIDUAL, PADRAOLIGHT</t>
  </si>
  <si>
    <t>CAIXA DE DISJUNTORES TRIFASICO (CDJ3) INTERNA, PARA ENTRADA DE ENERGIA INDIVIDUAL, PADRAO LIGHT</t>
  </si>
  <si>
    <t>CAIXA SECCIONADORA (CS100), PARA ENTRADADE ENERGIA INDIVIDUAL, PADRAO LIGHT</t>
  </si>
  <si>
    <t>ISOLADOR TIPO CARRETILHA, MARROM, DE (72X72)MM</t>
  </si>
  <si>
    <t>30344</t>
  </si>
  <si>
    <t>12.003.0075-B ALVENARIA TIJ. FURADO 10X20X20CM</t>
  </si>
  <si>
    <t>30060</t>
  </si>
  <si>
    <t>04.005.0123-B TRANSPORTE CARGA CAMINHAO 8T, 30KM/H</t>
  </si>
  <si>
    <t>30313</t>
  </si>
  <si>
    <t>11.013.0070-B CONCRETO ARMADO FCK 15MPA</t>
  </si>
  <si>
    <t>15.008.0090-A</t>
  </si>
  <si>
    <t>CABO DE COBRE COM ISOLAMENTO TERMOPLASTICO,COMPREENDENDO:PREPARO,CORTE E ENFIACAO EM ELETRODUTOS NA BITOLA DE 4MM2,450/7 50V.FORNECIMENTO E COLOCACAO (OBS.:3%-DESGASTE DE FERRAMENTAS E EPI).</t>
  </si>
  <si>
    <t>CABO COM ISOLAMENTO TERMOPLASTICO, DE 0750V, DE 004MM2</t>
  </si>
  <si>
    <t>15.008.0100-A</t>
  </si>
  <si>
    <t>CABO DE COBRE COM ISOLAMENTO TERMOPLASTICO,COMPREENDENDO:PREPARO,CORTE E ENFIACAO EM ELETRODUTOS NA BITOLA DE 10MM2,450/ 750V.FORNECIMENTO E COLOCACAO (OBS.:3%-DESGASTE DE FERRAMENTAS E EPI).</t>
  </si>
  <si>
    <t>CABO DE ISOLAMENTO TERMOPLASTICO, DE 0750V, DE 010MM2</t>
  </si>
  <si>
    <t>15.036.0070-A</t>
  </si>
  <si>
    <t>ELETRODUTO DE PVC RIGIDO ROSQUEAVEL DE 3/4",INCLUSIVE CONEXOES E EMENDAS,EXCLUSIVE ABERTURA E FECHAMENTO DE RASGO.FORNEC IMENTO E ASSENTAMENTO (OBS.:3%-DESGASTE DE FERRAMENTAS E EPI 10%-CONEXOES E EMENDAS).</t>
  </si>
  <si>
    <t>15.036.0071-A</t>
  </si>
  <si>
    <t>ELETRODUTO DE PVC RIGIDO ROSQUEAVEL DE 1",INCLUSIVE CONEXOES E EMENDAS,EXCLUSIVE ABERTURA E FECHAMENTO DE RASGO.FORNECIM ENTO E ASSENTAMENTO (OBS.:3%-DESGASTE DE FERRAMENTAS E EPI 10%-CONEXOES E EMENDAS).</t>
  </si>
  <si>
    <t>ELETRODUTO DE PVC PRETO,RIGIDO ROSQUEAVEL,COM ROSCA EM AMBAS EXTREMIDADES,EM BARRAS DE 3 METROS,DE 1"</t>
  </si>
  <si>
    <t>17.017.0350-A</t>
  </si>
  <si>
    <t>PINTURA INTERNA OU EXTERNA SOBRE FERRO GALVANIZADO OU ALUMINIO,USANDO FUNDO PARA GALVANIZADO,INCLUSIVE LIXAMENTO LEVE,LI MPEZA,DESENGORDURAMENTO E DUAS DEMAOS DE ACABAMENTO COM ESMALTE SINTETICO BRILHANTE OU ACETINADO</t>
  </si>
  <si>
    <t>PRIMER EPOXI,ISOCIANATO DE 2 COMPONENTES</t>
  </si>
  <si>
    <t>DETERGENTE NEUTRO P/LIMPEZA INDUSTRIAL,EM SACO DE 25KG</t>
  </si>
  <si>
    <t>ESMALTE SINTETICO ALQUIDICO ALTO BRILHO,BRILHANTE, ACETINADO OU FOSCO</t>
  </si>
  <si>
    <t>18.200.0004-A</t>
  </si>
  <si>
    <t>TRAVE DESMONTAVEL PARA FUTEBOL DE SALAO,EM TUBO DE FERRO GALVANIZADO E BUCHAS.FORNECIMENTO</t>
  </si>
  <si>
    <t>POSTES P/FUTEBOL DE SALAO, EM TUBOS DE FRRO GALVANIZADO E BUCHAS - (PAR)</t>
  </si>
  <si>
    <t>18.200.0005-A</t>
  </si>
  <si>
    <t>REDE DE NYLON PARA FUTEBOL DE SALAO.FORNECIMENTO</t>
  </si>
  <si>
    <t>REDE DE NYLON, P/FUTEBOL DE SALAO- (PAR)</t>
  </si>
  <si>
    <t>18.200.0015-A</t>
  </si>
  <si>
    <t>ESTRUTURA PARA BASQUETE,DE FERRO GALVANIZADO PINTADO,FIXA,COM AVANCO LIVRE DE 1,30M,COM TABELAS DE COMPENSADO NAVAL,AROS E REDES,EXCLUSIVE FURACAO DE PISO.FORNECIMENTO E COLOCACAO</t>
  </si>
  <si>
    <t>ESTRUTURA METALICAS (PAR),EM ACO GALV.PINTADO,P/BASQUETE,FIXAS,AVANCO LIVRE 1,30M,C/TABELAS COMPENSADO NAVAL,AROS/REDES</t>
  </si>
  <si>
    <t>30276</t>
  </si>
  <si>
    <t>11.003.0001-B CONCRETO FCK 10MPA INCL. MAT.,PREP.,LANC</t>
  </si>
  <si>
    <t>01.005.0001-A</t>
  </si>
  <si>
    <t>PREPARO MANUAL DE TERRENO,COMPREENDENDO ACERTO,RASPAGEM EVENTUALMENTE ATE 0.30M DE PROFUNDIDADE E AFASTAMENTO LATERAL DO MATERIAL EXCEDENTE,EXCLUSIVE COMPACTACAO</t>
  </si>
  <si>
    <t>04.014.0118-a</t>
  </si>
  <si>
    <t>Si74209/001</t>
  </si>
  <si>
    <t>Si000097626</t>
  </si>
  <si>
    <t>Si73806/001</t>
  </si>
  <si>
    <t>Si000096544</t>
  </si>
  <si>
    <t>Si000096557</t>
  </si>
  <si>
    <t>Si000096543</t>
  </si>
  <si>
    <t>Si000096547</t>
  </si>
  <si>
    <t>Si000092269</t>
  </si>
  <si>
    <t>Si000092722 alterado</t>
  </si>
  <si>
    <t>Si000092775</t>
  </si>
  <si>
    <t>Si000092778</t>
  </si>
  <si>
    <t>Si000092270</t>
  </si>
  <si>
    <t>Si000083336</t>
  </si>
  <si>
    <t>Si74106/001</t>
  </si>
  <si>
    <t>Si75029/001</t>
  </si>
  <si>
    <t>Si000083680</t>
  </si>
  <si>
    <t>Si000097994</t>
  </si>
  <si>
    <t>Si000097094 alterado</t>
  </si>
  <si>
    <t>Si000097094</t>
  </si>
  <si>
    <t>Si000085662</t>
  </si>
  <si>
    <t xml:space="preserve"> Si000085662 alterado</t>
  </si>
  <si>
    <t>Si000084126</t>
  </si>
  <si>
    <t>Si73855/001</t>
  </si>
  <si>
    <t>Si000093358</t>
  </si>
  <si>
    <t>Si000083463</t>
  </si>
  <si>
    <t>Si000093657</t>
  </si>
  <si>
    <t>Si000093662</t>
  </si>
  <si>
    <t>Si000093672</t>
  </si>
  <si>
    <t>Si000096985</t>
  </si>
  <si>
    <t>Si000088485</t>
  </si>
  <si>
    <t>Si000088489</t>
  </si>
  <si>
    <t>Si74245/001</t>
  </si>
  <si>
    <t>Si000041595</t>
  </si>
  <si>
    <t>Si000094273</t>
  </si>
  <si>
    <t>Si000006171 ALTERADO</t>
  </si>
  <si>
    <t>Si000094990</t>
  </si>
  <si>
    <t>Si73994/001</t>
  </si>
  <si>
    <t>Si000092271</t>
  </si>
  <si>
    <t>Si000072897</t>
  </si>
  <si>
    <t>Si000072898</t>
  </si>
  <si>
    <t>Si000097914</t>
  </si>
  <si>
    <t>Si000072850</t>
  </si>
  <si>
    <t>Si000072840</t>
  </si>
  <si>
    <t>ENCARGOS SOCIAIS SOBRE PREÇOS DA MÃO-DE-OBRA: 90,79%(HORA)  51,52%(MÊS)</t>
  </si>
  <si>
    <t>05075</t>
  </si>
  <si>
    <t>PREGO DE ACO POLIDO COM CABECA 18 X 30 (2 3/4 X 10)</t>
  </si>
  <si>
    <t>04813</t>
  </si>
  <si>
    <t>PLACA DE OBRA (PARA CONSTRUCAO CIVIL) EM CHAPA GALVANIZADA *N. 22*, DE *2,0 X 1,125* M</t>
  </si>
  <si>
    <t>04491</t>
  </si>
  <si>
    <t>04417</t>
  </si>
  <si>
    <t>SARRAFO DE MADEIRA NAO APARELHADA *2,5 X 7* CM, MACARANDUBA, ANGELIM OU EQUIVALENTE DA REGIAO</t>
  </si>
  <si>
    <t>SI000088262</t>
  </si>
  <si>
    <t>CARPINTEIRO DE FORMAS COM ENCARGOS COMPLEMENTARES</t>
  </si>
  <si>
    <t>SI000094962</t>
  </si>
  <si>
    <t>SI000094962 CONCRETO MAGRO PARA LASTRO, TRAÇO 1:4,5:4,5 (CIMENTO/ AREIA MÉDIA/ BRITA 1)  - PREPARO MECÂNICO COM BETONEIRA 400 L. AF_07/2016</t>
  </si>
  <si>
    <t>SI000041598</t>
  </si>
  <si>
    <t>ENTRADA PROVISORIA DE ENERGIA ELETRICA AEREA TRIFASICA 40A EM POSTE MADEIRA</t>
  </si>
  <si>
    <t>02731</t>
  </si>
  <si>
    <t>MADEIRA ROLICA TRATADA, EUCALIPTO OU EQUIVALENTE DA REGIAO, H = 12 M, D = 20 A 24 CM (PARA POSTE)</t>
  </si>
  <si>
    <t>00420</t>
  </si>
  <si>
    <t>CINTA CIRCULAR EM ACO GALVANIZADO DE 150 MM DE DIAMETRO PARA FIXACAO DE CAIXA MEDICAO, INCLUI PARAFUSOS E PORCAS</t>
  </si>
  <si>
    <t>00857</t>
  </si>
  <si>
    <t>CABO DE COBRE NU 16 MM2 MEIO-DURO</t>
  </si>
  <si>
    <t>00937</t>
  </si>
  <si>
    <t>FIO DE COBRE, SOLIDO, CLASSE 1, ISOLACAO EM PVC/A, ANTICHAMA BWF-B, 450/750V, SECAO NOMINAL 10 MM2</t>
  </si>
  <si>
    <t>01062</t>
  </si>
  <si>
    <t>CAIXA INTERNA DE MEDICAO PARA 1 MEDIDOR TRIFASICO, COM VISOR, EM CHAPA DE ACO 18 USG (PADRAO DA CONCESSIONARIA LOCAL)</t>
  </si>
  <si>
    <t>01096</t>
  </si>
  <si>
    <t>ARMACAO VERTICAL COM HASTE E CONTRA-PINO, EM CHAPA DE ACO GALVANIZADO 3/16", COM 4 ESTRIBOS E 4 ISOLADORES</t>
  </si>
  <si>
    <t>01539</t>
  </si>
  <si>
    <t>CONECTOR METALICO TIPO PARAFUSO FENDIDO (SPLIT BOLT), PARA CABOS ATE 16 MM2</t>
  </si>
  <si>
    <t>01892</t>
  </si>
  <si>
    <t>LUVA EM PVC RIGIDO ROSCAVEL, DE 1", PARA ELETRODUTO</t>
  </si>
  <si>
    <t>00406</t>
  </si>
  <si>
    <t>FITA ACO INOX PARA CINTAR POSTE, L = 19 MM, E = 0,5 MM (ROLO DE 30M)</t>
  </si>
  <si>
    <t>02685</t>
  </si>
  <si>
    <t>ELETRODUTO DE PVC RIGIDO ROSCAVEL DE 1 ", SEM LUVA</t>
  </si>
  <si>
    <t>03379</t>
  </si>
  <si>
    <t>!EM PROCESSO DE DESATIVACAO! HASTE DE ATERRAMENTO EM ACO COM 3,00 M DE COMPRIMENTO E DN = 5/8", REVESTIDA COM BAIXA CAMADA DE COBRE, SEM CONECTOR</t>
  </si>
  <si>
    <t>04346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</si>
  <si>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</si>
  <si>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</si>
  <si>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</si>
  <si>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</si>
  <si>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</si>
  <si>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</si>
  <si>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</si>
  <si>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</si>
  <si>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</si>
  <si>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02392</t>
  </si>
  <si>
    <t>DISJUNTOR TIPO NEMA, TRIPOLAR 10  ATE  50A, TENSAO MAXIMA DE 415 V</t>
  </si>
  <si>
    <t>SI000088264</t>
  </si>
  <si>
    <t>ELETRICISTA COM ENCARGOS COMPLEMENTARES</t>
  </si>
  <si>
    <t>SI000097622</t>
  </si>
  <si>
    <t>DEMOLIÇÃO DE ALVENARIA DE BLOCO FURADO, DE FORMA MANUAL, SEM REAPROVEITAMENTO. AF_12/2017</t>
  </si>
  <si>
    <t>PEDREIRO COM ENCARGOS COMPLEMENTARES</t>
  </si>
  <si>
    <t>SI000098532</t>
  </si>
  <si>
    <t>PODA EM ALTURA DE ÁRVORE COM DIÂMETRO DE TRONCO MENOR QUE 0,20 M.AF_05/2018</t>
  </si>
  <si>
    <t>SI000088441</t>
  </si>
  <si>
    <t>JARDINEIRO COM ENCARGOS COMPLEMENTARES</t>
  </si>
  <si>
    <t>SI000005930</t>
  </si>
  <si>
    <t>SI000005928</t>
  </si>
  <si>
    <t>Si00746</t>
  </si>
  <si>
    <t>SI000096544</t>
  </si>
  <si>
    <t>ARMAÇÃO DE BLOCO, VIGA BALDRAME OU SAPATA UTILIZANDO AÇO CA-50 DE 6,3 MM - MONTAGEM. AF_06/2017</t>
  </si>
  <si>
    <t>39017</t>
  </si>
  <si>
    <t>ESPACADOR / DISTANCIADOR CIRCULAR COM ENTRADA LATERAL, EM PLASTICO, PARA VERGALHAO *4,2 A 12,5* MM, COBRIMENTO 20 MM</t>
  </si>
  <si>
    <t>00337</t>
  </si>
  <si>
    <t>ARAME RECOZIDO 18 BWG, 1,25 MM (0,01 KG/M)</t>
  </si>
  <si>
    <t>SI000088245</t>
  </si>
  <si>
    <t>ARMADOR COM ENCARGOS COMPLEMENTARES</t>
  </si>
  <si>
    <t>SI000088238</t>
  </si>
  <si>
    <t>AJUDANTE DE ARMADOR COM ENCARGOS COMPLEMENTARES</t>
  </si>
  <si>
    <t>SI000092792</t>
  </si>
  <si>
    <t>SI000096546</t>
  </si>
  <si>
    <t>ARMAÇÃO DE BLOCO, VIGA BALDRAME OU SAPATA UTILIZANDO AÇO CA-50 DE 10 MM - MONTAGEM. AF_06/2017</t>
  </si>
  <si>
    <t>SI000092794</t>
  </si>
  <si>
    <t>SI000092794 CORTE E DOBRA DE AÇO CA-50, DIÂMETRO DE 10,0 MM, UTILIZADO EM ESTRUTURAS DIVERSAS, EXCETO LAJES. AF_12/2015</t>
  </si>
  <si>
    <t>SI000096525</t>
  </si>
  <si>
    <t>ESCAVAÇÃO MECANIZADA PARA VIGA BALDRAME, COM PREVISÃO DE FÔRMA, COM MINI-ESCAVADEIRA. AF_06/2017</t>
  </si>
  <si>
    <t>SI000096246</t>
  </si>
  <si>
    <t>SI000096245</t>
  </si>
  <si>
    <t>SI000096530</t>
  </si>
  <si>
    <t>FABRICAÇÃO, MONTAGEM E DESMONTAGEM DE FÔRMA PARA VIGA BALDRAME, EM MADEIRA SERRADA, E=25 MM, 1 UTILIZAÇÃO. AF_06/2017</t>
  </si>
  <si>
    <t>40304</t>
  </si>
  <si>
    <t>PREGO DE ACO POLIDO COM CABECA DUPLA 17 X 27 (2 1/2 X 11)</t>
  </si>
  <si>
    <t>06189</t>
  </si>
  <si>
    <t>05073</t>
  </si>
  <si>
    <t>PREGO DE ACO POLIDO COM CABECA 17 X 24 (2 1/4 X 11)</t>
  </si>
  <si>
    <t>04517</t>
  </si>
  <si>
    <t>02692</t>
  </si>
  <si>
    <t>DESMOLDANTE PROTETOR PARA FORMAS DE MADEIRA, DE BASE OLEOSA EMULSIONADA EM AGUA</t>
  </si>
  <si>
    <t>SI000088239</t>
  </si>
  <si>
    <t>AJUDANTE DE CARPINTEIRO COM ENCARGOS COMPLEMENTARES</t>
  </si>
  <si>
    <t>SI000091693</t>
  </si>
  <si>
    <t>SI000091693 SERRA CIRCULAR DE BANCADA COM MOTOR ELÉTRICO POTÊNCIA DE 5HP, COM COIFA PARA DISCO 10" - CHI DIURNO. AF_08/2015</t>
  </si>
  <si>
    <t>SI000091692</t>
  </si>
  <si>
    <t>SI000091692 SERRA CIRCULAR DE BANCADA COM MOTOR ELÉTRICO POTÊNCIA DE 5HP, COM COIFA PARA DISCO 10" - CHP DIURNO. AF_08/2015</t>
  </si>
  <si>
    <t>SI000095241</t>
  </si>
  <si>
    <t>LASTRO DE CONCRETO MAGRO, APLICADO EM PISOS OU RADIERS, ESPESSURA DE 5 CM. AF_07/2016</t>
  </si>
  <si>
    <t>SI000094968</t>
  </si>
  <si>
    <t>SI000094968 CONCRETO MAGRO PARA LASTRO, TRAÇO 1:4,5:4,5 (CIMENTO/ AREIA MÉDIA/ BRITA 1)  - PREPARO MECÂNICO COM BETONEIRA 600 L. AF_07/2016</t>
  </si>
  <si>
    <t>Si11964</t>
  </si>
  <si>
    <t>Si000083446</t>
  </si>
  <si>
    <t>Si74157/004</t>
  </si>
  <si>
    <t>7.5</t>
  </si>
  <si>
    <t>CAIXA EM CONCRETO PRÉ-MOLDADO PARA ABRIGO DE HIDRÔMETRO COM DN 20 (½)  FORNECIMENTO E INSTALAÇÃO. AF_11/2016</t>
  </si>
  <si>
    <t>CAIXA PARA HIDROMETRO CONCRETO PRE MOLDADO</t>
  </si>
  <si>
    <t>ENCANADOR OU BOMBEIRO HIDRÁULICO COM ENCARGOS COMPLEMENTARES</t>
  </si>
  <si>
    <t>AUXILIAR DE ENCANADOR OU BOMBEIRO HIDRÁULICO COM ENCARGOS COMPLEMENTARES</t>
  </si>
  <si>
    <t>SI000095676</t>
  </si>
  <si>
    <t>11882</t>
  </si>
  <si>
    <t>SI000088267</t>
  </si>
  <si>
    <t>SI000088248</t>
  </si>
  <si>
    <t>Si000095676</t>
  </si>
  <si>
    <r>
      <t xml:space="preserve">Barra de aco ca-50,com saliencia ou mossa,coeficiente de conformacao superficial minimo (aderencia) igual a 1,5,diametro de 10,0mm,destinada a armadura de concreto armado,10%de perdas de pontas e arame 18. </t>
    </r>
    <r>
      <rPr>
        <b/>
        <sz val="12"/>
        <rFont val="Arial"/>
        <family val="2"/>
      </rPr>
      <t>FORNECIMENTO (BALDRAME DOS PORTÕES)</t>
    </r>
  </si>
  <si>
    <r>
      <t xml:space="preserve">Armação de bloco, viga baldrame ou sapata utilizando aço ca-50 de 10 mm - montagem. Af_06/2017 </t>
    </r>
    <r>
      <rPr>
        <b/>
        <sz val="12"/>
        <rFont val="Arial"/>
        <family val="2"/>
      </rPr>
      <t>(BALDRAME DOS PORTÕES)</t>
    </r>
  </si>
  <si>
    <t>2.60</t>
  </si>
  <si>
    <t>2.61</t>
  </si>
  <si>
    <t>MURO LATERAL DA QUADRA E ESTRUTURA DOS PORTÕES</t>
  </si>
  <si>
    <t>2.62</t>
  </si>
  <si>
    <t>FABRICAÇÃO, MONTAGEM E DESMONTAGEM DE FÔRMA PARA BLOCO DE COROAMENTO, EM MADEIRA SERRADA, E=25 MM, 2 UTILIZAÇÕES. AF_06/2017</t>
  </si>
  <si>
    <t>2.63</t>
  </si>
  <si>
    <t>2.64</t>
  </si>
  <si>
    <t>2.65</t>
  </si>
  <si>
    <t>2.66</t>
  </si>
  <si>
    <t>2.67</t>
  </si>
  <si>
    <t>2.68</t>
  </si>
  <si>
    <t>2.69</t>
  </si>
  <si>
    <t>BLOCO ESTRUTURA PARA PORTÕES  - 30MPa</t>
  </si>
  <si>
    <t>SI000096531</t>
  </si>
  <si>
    <t>SI000096543</t>
  </si>
  <si>
    <t>ARMAÇÃO DE BLOCO, VIGA BALDRAME E SAPATA UTILIZANDO AÇO CA-60 DE 5 MM - MONTAGEM. AF_06/2017</t>
  </si>
  <si>
    <t>SI000094966</t>
  </si>
  <si>
    <t>CONCRETO FCK = 30MPA, TRAÇO 1:2,1:2,5 (CIMENTO/ AREIA MÉDIA/ BRITA 1)  - PREPARO MECÂNICO COM BETONEIRA 400 L. AF_07/2016</t>
  </si>
  <si>
    <t>SI000092873</t>
  </si>
  <si>
    <t>LANÇAMENTO COM USO DE BALDES, ADENSAMENTO E ACABAMENTO DE CONCRETO EM ESTRUTURAS. AF_12/2015</t>
  </si>
  <si>
    <t>SI000094966 + Si000092873</t>
  </si>
  <si>
    <r>
      <t xml:space="preserve"> CONCRETO FCK = 30MPA, TRAÇO 1:2,1:2,5 (CIMENTO/ AREIA MÉDIA/ BRITA 1)  - PREPARO MECÂNICO COM BETONEIRA 400 L. AF_07/2016,  LANÇAMENTO COM USO DE BALDES, ADENSAMENTO E ACABAMENTO DE CONCRETO EM ESTRUTURAS. AF_12/2015 </t>
    </r>
    <r>
      <rPr>
        <b/>
        <sz val="12"/>
        <rFont val="Arial"/>
        <family val="2"/>
      </rPr>
      <t>(MURO LATERAL QUADRA E ESTRUTURA DOS PORTÕES)</t>
    </r>
  </si>
  <si>
    <t>2.70</t>
  </si>
  <si>
    <t>Fabricação, montagem e desmontagem de fôrma para bloco de coroamento, em madeira serrada, e=25 mm, 1 utilização. Af_06/2017</t>
  </si>
  <si>
    <t>PORTA CADEADO DE 4.1/2",DE FERRO ZINCADO.FORNECIMENTO</t>
  </si>
  <si>
    <t>7.6</t>
  </si>
  <si>
    <r>
      <t xml:space="preserve">FORNECIMENTO E COLOCAÇÃO DE PORTINHOLA DE FERRO EM BARRA CHATA DE 1.1/4",MEDINDO 0,40X0,70M, INCLUSIVE PORTA CADEADO DE 41/2" E CADEADO COM DUPLA TRAVA, DISCO DE SEGURANÇA ANTI-GAZUA, CORPO DE LATÃO MACIÇO, CILINDRO DE LATÃO TREFILADO, DE 30MM INCLUSIVE CONFECÇÃO DE CHAVES. </t>
    </r>
    <r>
      <rPr>
        <b/>
        <sz val="12"/>
        <rFont val="Arial"/>
        <family val="2"/>
      </rPr>
      <t>( ABRIGO DE HIDRÔMETRO)</t>
    </r>
  </si>
  <si>
    <t>14.002.0054-A + 14.007.0328-A 14.007.0326-A</t>
  </si>
  <si>
    <t>14.002.0054-A</t>
  </si>
  <si>
    <t>PORTINHOLA DE FERRO EM BARRA CHATA DE 1.1/4",MEDINDO 0,40X0,90M.FORNECIMENTO E COLOCACAO</t>
  </si>
  <si>
    <t>14.007.0328-A</t>
  </si>
  <si>
    <t>14.007.0326-A</t>
  </si>
  <si>
    <t>CADEADO DE 30MM ADAPTADO PARA USO DE UMA SO CHAVE.FORNECIMENTO</t>
  </si>
  <si>
    <t>Proporção entre tampa a ser colocada  e tampa do item=(0,8*0,8*0,1) dividido por (0,6*0,6*0,05) =</t>
  </si>
  <si>
    <r>
      <t xml:space="preserve">Carga e descarga mecanizadas de entulho em caminhao basculante 6 m3 </t>
    </r>
    <r>
      <rPr>
        <b/>
        <sz val="12"/>
        <rFont val="Arial"/>
        <family val="2"/>
      </rPr>
      <t>(acerto do talude)</t>
    </r>
  </si>
  <si>
    <r>
      <t xml:space="preserve">Transporte com caminhão basculante de 6 m3, em via urbana pavimentada, dmt até 30 km . Af_01/2018. DMT = 10,8KM </t>
    </r>
    <r>
      <rPr>
        <b/>
        <sz val="12"/>
        <rFont val="Arial"/>
        <family val="2"/>
      </rPr>
      <t>(CTR BARRA MANSA)</t>
    </r>
  </si>
  <si>
    <r>
      <t>Descarga de materiais e residuos originarios da construcao civil(rcc),classe c (nao reutilizaveis),em locais de disposic ao final autorizados e/ou licenciados a operar pelos orgaosde controle ambiental.</t>
    </r>
    <r>
      <rPr>
        <b/>
        <sz val="12"/>
        <rFont val="Arial"/>
        <family val="2"/>
      </rPr>
      <t xml:space="preserve"> DMT = 10,8 KM  (CTR BARRA MANSA)</t>
    </r>
  </si>
  <si>
    <r>
      <t xml:space="preserve">Transporte comercial com caminhao carroceria 9 t, rodovia pavimentada. </t>
    </r>
    <r>
      <rPr>
        <b/>
        <sz val="12"/>
        <rFont val="Arial"/>
        <family val="2"/>
      </rPr>
      <t>Dmt = 2km ( PARQUE DA CIDADE)</t>
    </r>
  </si>
  <si>
    <t>13.332.0010-6</t>
  </si>
  <si>
    <t>13.333.0010-6</t>
  </si>
  <si>
    <t xml:space="preserve">14.002.0070-A+ 14.007.024-A </t>
  </si>
  <si>
    <t>84126            + 05.001.0607-A + INSUMO 11964</t>
  </si>
  <si>
    <t>05.001.0607-A</t>
  </si>
  <si>
    <t>21.020.0075-A + MERCADO</t>
  </si>
  <si>
    <t>18.020.0005-A</t>
  </si>
  <si>
    <t>13.333.0010-A</t>
  </si>
  <si>
    <t>UNIT COM BDI</t>
  </si>
  <si>
    <t xml:space="preserve"> CONCRETO FCK = 30MPA, TRAÇO 1:2,1:2,5 (CIMENTO/ AREIA MÉDIA/ BRITA 1)  - PREPARO MECÂNICO COM BETONEIRA 400 L. AF_07/2016,  LANÇAMENTO COM USO DE BALDES, ADENSAMENTO E ACABAMENTO DE CONCRETO EM ESTRUTURAS. AF_12/2015.</t>
  </si>
  <si>
    <t>9.7</t>
  </si>
  <si>
    <t>05.001.0171-A</t>
  </si>
  <si>
    <t>TRANSPORTE HORIZONTAL DE MATERIAL DE 1¦CATEGORIA OU ENTULHO,EM CARRINHOS,A 20,00M DE DISTANCIA,INCLUSIVE CARGA A PA (OBS.:3%- DESGASTE DE FERRAMENTAS E EPI).</t>
  </si>
  <si>
    <r>
      <t xml:space="preserve">Revestimento de piso com ceramica tatil alerta e direcional, medidas 30x30x2,5cm, amarelo,(ladrilho hidraulico) para pessoas com necessidades especificas,assentes com nata de cimento sobre argamassa de cimento, saibro e areia,no traco 1:3:3,rejuntamento com cimento branco e corante. </t>
    </r>
    <r>
      <rPr>
        <b/>
        <sz val="12"/>
        <color indexed="8"/>
        <rFont val="Arial"/>
        <family val="2"/>
      </rPr>
      <t>(inclusive rampa de acesso a quadra)</t>
    </r>
  </si>
  <si>
    <r>
      <t xml:space="preserve">Execução de passeio (calçada) ou piso de concreto com concreto moldado in loco, feito em obra, acabamento convencional, não armado. Af_07/2016 </t>
    </r>
    <r>
      <rPr>
        <b/>
        <sz val="12"/>
        <rFont val="Arial"/>
        <family val="2"/>
      </rPr>
      <t>( inclusive rampa de acesso a quadra)</t>
    </r>
  </si>
  <si>
    <r>
      <t>CONCRETO IMPORTADO DE USINA,DOSADO RACIONALMENTE PARA RESISTENCIA CARACTERISTICA A COMPRESSAO DE 20MPA,INCLUSIVE TRANSPORTE HORIZONTAL ATE 20,00M EM CARRINHOS,ADENSAMENTO E ACABAMENTO</t>
    </r>
    <r>
      <rPr>
        <b/>
        <sz val="12"/>
        <color indexed="8"/>
        <rFont val="Arial"/>
        <family val="2"/>
      </rPr>
      <t xml:space="preserve"> (PÁTIO LATERAL DA QUADRA, ACESSO DA ESCOLA PARA QUADRA )</t>
    </r>
  </si>
  <si>
    <t>TRANSPORTE HORIZONTAL DE ENTULHO,EM CARRINHOS,A 20,00M DE DISTANCIA,INCLUSIVE CARGA A PA.</t>
  </si>
  <si>
    <t>TRANSPORTE HORIZONTAL  DE ENTULHO,EM CARRINHOS,A 20,00M DE DISTANCIA,INCLUSIVE CARGA A PA.</t>
  </si>
  <si>
    <t>ALVENARIA E REVESTIMENTOS</t>
  </si>
  <si>
    <t>ALAMBRADO/ESQUADRIAS</t>
  </si>
  <si>
    <t>21.001.0165-A</t>
  </si>
  <si>
    <t>ASSENTAMENTO DE POSTE RETO,DE ACO DE 7,00 ATE 9,00M,COM FLANGE DE ACO SOLDADO NA SUA BASE,FIXADO POR PARAFUSOS CHUMBADOR RES ENGASTADOS EM FUNDACAO DE CONCRETO,EXCLUSIVE FUNDACAO EFORNECIMENTO DO POSTE</t>
  </si>
  <si>
    <t>5.22</t>
  </si>
  <si>
    <r>
      <t>Poste de aco,reto,conico continuo,altura de 9,00m,com sapata, inclusive pintura .</t>
    </r>
    <r>
      <rPr>
        <b/>
        <sz val="12"/>
        <rFont val="Arial"/>
        <family val="2"/>
      </rPr>
      <t xml:space="preserve">FORNECIMENTO </t>
    </r>
  </si>
  <si>
    <t>MOBILIÁRIO</t>
  </si>
  <si>
    <t>CALÇADA DE CONCRETO</t>
  </si>
  <si>
    <t>Local:  Rua Manoel Sebastião, esquina com Tancredo Rodrigues de Paula, Agua Comprida , Barra Mansa</t>
  </si>
  <si>
    <r>
      <t>Secretaria Municipal de Planejamento Urbano</t>
    </r>
    <r>
      <rPr>
        <sz val="20"/>
        <rFont val="Arial"/>
        <family val="2"/>
      </rPr>
      <t xml:space="preserve"> </t>
    </r>
  </si>
  <si>
    <t>17.018.0082-A</t>
  </si>
  <si>
    <t>REPINTURA COM TINTA LATEX ACETINADA,CLASSIFICACAO PREMIUM OU STANDARD (NBR 15079),PARA EXTERIOR,SOBRE SUPERFICIE EM BOM ESTADO E NA COR EXISTENTE,INCLUSIVE LIMPEZA,LIXAMENTO COM LIXA FINA,UMA DEMAO DE FUNDO PREPARADOR E UMA DE ACABAMENTO (OBS.:3%-DESGASTE DE FERRAMENTAS E EPI).</t>
  </si>
  <si>
    <t>14496</t>
  </si>
  <si>
    <t>LIXA PARA MASSA</t>
  </si>
  <si>
    <t>14495</t>
  </si>
  <si>
    <t>TINTA LATEX STANDARD PARA EXTERIOR/INTERIOR ACETINADA BRANCA OU COLORIDA, EM BALDES DE 18 LITROS</t>
  </si>
  <si>
    <t>07182</t>
  </si>
  <si>
    <t>FUNDO PREPARADOR DE PAREDES ACRILICO, BASE D`AGUA, INCOLOR</t>
  </si>
  <si>
    <t>6.6</t>
  </si>
  <si>
    <t>Assentamento de tubulacao de pvc com junta elastica,para coletor de águas pluviais,com diametro nominal de 250mm,aterro e soca ate a altura da geratriz superior do tubo,considerando o material da propria escavacao,exclusive tubo.</t>
  </si>
  <si>
    <r>
      <t xml:space="preserve">Aplicação de fundo selador acrílico premium em paredes, uma demão, inclusive lixamento prévio. Af_06/2014 - </t>
    </r>
    <r>
      <rPr>
        <b/>
        <sz val="12"/>
        <color indexed="8"/>
        <rFont val="Arial"/>
        <family val="2"/>
      </rPr>
      <t>(muros)</t>
    </r>
  </si>
  <si>
    <r>
      <t xml:space="preserve">Aplicação manual de pintura com tinta látex acrílica premium em paredes, duas demãos. Af_06/2014 </t>
    </r>
    <r>
      <rPr>
        <b/>
        <sz val="12"/>
        <color indexed="8"/>
        <rFont val="Arial"/>
        <family val="2"/>
      </rPr>
      <t>(muros)</t>
    </r>
  </si>
  <si>
    <t>Calçada externa de concreto e rampa de acesso a quadra</t>
  </si>
  <si>
    <t>20.028.0020-A</t>
  </si>
  <si>
    <t>TAMPA PARA CAIXA COLETORA,EM CONCRETO ARMADO,INCLUSIVE TODOS OS MATERIAIS E COLOCACAO (ESPESSURA DE 6CM)</t>
  </si>
  <si>
    <t>20.028.0020-6</t>
  </si>
  <si>
    <t>considerado fator  de 10cm/6cm =1,67 para alteração de espessura de 6cm do item original para 10cm do projeto</t>
  </si>
  <si>
    <t>TAMPA PARA CAIXA COLETORA,EM CONCRETO ARMADO,INCLUSIVE TODOS OS MATERIAIS E COLOCACAO (ESPESSURA DE 10CM).</t>
  </si>
  <si>
    <t>ABRACADEIRA EM ACO PARA AMARRACAO DE ELETRODUTOS, TIPO U SIMPLES, COM 2 1/2"</t>
  </si>
  <si>
    <t>SI39143</t>
  </si>
  <si>
    <t>15.003.0395-A</t>
  </si>
  <si>
    <t>ABRACADEIRA DE FIXACAO,TIPO COPO,ESTAMPADA EM CHAPA DE FERRO ZINCADA,COMPOSTA DE CANOPLA,PARAFUSOS E ABRACADEIRAS PROPRI AMENTE DITA,NO DIAMETRO 2".FORNECIMENTO E COLOCACAO</t>
  </si>
  <si>
    <t>05881</t>
  </si>
  <si>
    <t>BUCHA DE NYLON, TIPO S-06</t>
  </si>
  <si>
    <t>05273</t>
  </si>
  <si>
    <t>ABRACADEIRA TIPO COPO, DE 2"</t>
  </si>
  <si>
    <t>15.003.0395-6</t>
  </si>
  <si>
    <t>Abraçadeiras metálicas rígida tipo U 2 1/2", com 2 parafusos de aco tipo chumbador parabolt, diametro 3/8", comprimento 75 mm (fixação de tubos no muro).</t>
  </si>
  <si>
    <t>LEDMAX</t>
  </si>
  <si>
    <t>VIA SITE</t>
  </si>
  <si>
    <t>18.923.774/0001-50</t>
  </si>
  <si>
    <t xml:space="preserve">(11) 4784-4479 </t>
  </si>
  <si>
    <t>12.966.746/0001-33</t>
  </si>
  <si>
    <t>(11) 2359-6651</t>
  </si>
  <si>
    <t>ENERGIA EXTRA</t>
  </si>
  <si>
    <t>ILUMINIM</t>
  </si>
  <si>
    <t>COTAÇÃO MERCADO</t>
  </si>
  <si>
    <t>0800 580 0332</t>
  </si>
  <si>
    <t>23.429.903/0001-98</t>
  </si>
  <si>
    <t>150 DIAS</t>
  </si>
  <si>
    <t>180 DIAS</t>
  </si>
  <si>
    <t>ORÇAMENTO Nº 001-19</t>
  </si>
  <si>
    <t>01.001.0078-a</t>
  </si>
  <si>
    <t>11.003.0006-a</t>
  </si>
  <si>
    <t>11.009.0013-a</t>
  </si>
  <si>
    <t>11.009.0014-b</t>
  </si>
  <si>
    <t>11.009.0011-a</t>
  </si>
  <si>
    <t>11.009.0011-B</t>
  </si>
  <si>
    <t>PISO DE CONCRETO ARMADO ( quadra e pátio descoberto)</t>
  </si>
  <si>
    <t>ALAMBRADO / ESQUADRIAS</t>
  </si>
  <si>
    <t>CALÇADA EXTERNA DE CONCRETO E RAMPA DE ACESSO A QUADRA</t>
  </si>
  <si>
    <t>Serviço : Construção de Quadra da Escola Municipal  Geraldo Osório</t>
  </si>
  <si>
    <t>COTAÇÕES DE MERCADO ORÇAMENTO 001-19 - Construção de Quadra da Escola Municipal  Geraldo Osório</t>
  </si>
  <si>
    <t>Serviço :Construção de Quadra da Escola Municipal  Geraldo Osório</t>
  </si>
  <si>
    <t>Repintura com tinta látex acetinada, classificação premium  (nbr 15079),para exterior, sobre superfície em bom estado e na cor existente, inclusive limpeza, lixamento com lixa fina, uma demão de fundo preparador e uma de acabamento .</t>
  </si>
  <si>
    <r>
      <t xml:space="preserve">Pintura interna ou externa sobre ferro galvanizado ou aluminio,usando fundo para galvanizado,inclusive lixamento leve,limpeza,desengorduramento e duas demaos de acabamento com esmalte sintetico alquidico brilhante ou acetinado </t>
    </r>
    <r>
      <rPr>
        <b/>
        <sz val="12"/>
        <color indexed="8"/>
        <rFont val="Arial"/>
        <family val="2"/>
      </rPr>
      <t>(tubos de alambrado).</t>
    </r>
  </si>
  <si>
    <r>
      <t xml:space="preserve">Pintura acrilica com tinta acrilica premium para piso cimentado duas demaos </t>
    </r>
    <r>
      <rPr>
        <b/>
        <sz val="12"/>
        <color indexed="8"/>
        <rFont val="Arial"/>
        <family val="2"/>
      </rPr>
      <t>(PISO DA QUADRA)</t>
    </r>
  </si>
  <si>
    <t>Pintura acrilica, tinta premium para piso, de faixas de demarcacao em quadra poliesportiva, 5 cm de largura</t>
  </si>
  <si>
    <r>
      <t xml:space="preserve">Pintura interna ou externa sobre ferro galvanizado ou aluminio,usando fundo para galvanizado,inclusive lixamento leve,limpeza,desengorduramento e duas demaos de acabamento com esmalte sintetico alquidico brilhante ou acetinado premium </t>
    </r>
    <r>
      <rPr>
        <b/>
        <sz val="12"/>
        <color indexed="8"/>
        <rFont val="Arial"/>
        <family val="2"/>
      </rPr>
      <t>(tubos de alambrado).</t>
    </r>
  </si>
  <si>
    <t>03106</t>
  </si>
  <si>
    <t>FERROLHO / FECHO CHATO, DE SOBREPOR, EM FERRO ZINCADO, REFORCADO, 6", COM PORTA CADEADO, PARA PORTAO, PORTA E JANELA - INCLUI PARAFUSOS</t>
  </si>
  <si>
    <r>
      <t>Conjunto de ferragens para portão (item 4.6) composto de : ferrolho / fecho chato, de sobrepor, em ferro zincado, reforcado, 6", com porta cadeado, inclusive parafusos; 1 cadeado com dupla trava, disco de seguranca anti gazua, corpo de latao macico, cilindro de latao trefilado, de 50mm e 2 fecho de haste redonda,em ferro,para pintar,com 20cm.</t>
    </r>
    <r>
      <rPr>
        <b/>
        <sz val="12"/>
        <rFont val="Arial"/>
        <family val="2"/>
      </rPr>
      <t>FORNECIMENTO E COLOCAÇÃO</t>
    </r>
  </si>
  <si>
    <t>14.007.0324-A + insumo sinapi 03106 + 2 x 14.007.0302-A</t>
  </si>
  <si>
    <t>09.012.0010-A</t>
  </si>
  <si>
    <t>BANCO DE CONCRETO ARMADO,SEM ENCOSTO,MEDINDO(225X50X50)CM.FORNECIMENTO</t>
  </si>
  <si>
    <t>10915</t>
  </si>
  <si>
    <t>BANCO CONCRETO ARMADO, SEM ENCOSTO, CANTOS ARREDONDADOS, DE (225X50X50)CM, MODELO B-7, NEOREX</t>
  </si>
  <si>
    <t>BANCO DE CONCRETO ARMADO,SEM ENCOSTO,MEDINDO(225X50X50)CM, MODELO B-7, NEOREX.FORNECIMENTO</t>
  </si>
  <si>
    <r>
      <t>Portao de chapa de ferro galvanizado,acabamento vincado,2 folhas, com batente, temdo espessura de 0,5mm,com altura entre 2m e 3m e area total de 6m2 a 9m2,exclusive fechadura</t>
    </r>
    <r>
      <rPr>
        <b/>
        <sz val="12"/>
        <rFont val="Arial"/>
        <family val="2"/>
      </rPr>
      <t>.FORNECIMENTO E COLOCAÇÃO</t>
    </r>
  </si>
  <si>
    <r>
      <t xml:space="preserve">Portao de ferro de uma folha </t>
    </r>
    <r>
      <rPr>
        <b/>
        <u val="single"/>
        <sz val="12"/>
        <rFont val="Arial"/>
        <family val="2"/>
      </rPr>
      <t>com medidas aproximadas de 1,20m de largura x 2,80m de altura</t>
    </r>
    <r>
      <rPr>
        <sz val="12"/>
        <rFont val="Arial"/>
        <family val="2"/>
      </rPr>
      <t>,formado p/barras verticais de 1.1/4"x1/4",espacadas de 12,5cm,contorno e marcos em barrasde 1.1/4"x3/8",com batente, fecho para colocacao de cadeado, inclusive este (cadeado de 50mm,c/dupla trava,disco de seguranca anti-gazua,corpo de latao macico,cilindro de latao trefilado) .</t>
    </r>
    <r>
      <rPr>
        <b/>
        <sz val="12"/>
        <rFont val="Arial"/>
        <family val="2"/>
      </rPr>
      <t>FORNECIMENTO E COLOCAÇÃO (ACESSO QUADRA/COLÉGIO)</t>
    </r>
  </si>
  <si>
    <r>
      <t>Trave para futebol de salao,em tubo de ferro galvanizado e buchas, inclusive pintura, respeitando normas oficiais pertinentes.</t>
    </r>
    <r>
      <rPr>
        <b/>
        <sz val="12"/>
        <rFont val="Arial"/>
        <family val="2"/>
      </rPr>
      <t>FORNECIMENTO</t>
    </r>
  </si>
  <si>
    <r>
      <t>Estrutura para basquete,de ferro galvanizado pintado,fixa,com avanco livre de 1,30m,com tabelas de compensado naval,aros e redes,inclusive fixação,  respeitando normas oficiais pertinentes.</t>
    </r>
    <r>
      <rPr>
        <b/>
        <sz val="12"/>
        <rFont val="Arial"/>
        <family val="2"/>
      </rPr>
      <t>FORNECIMENTO E COLOCAÇÃO</t>
    </r>
  </si>
  <si>
    <t>Estrutura para basquete,de ferro galvanizado pintado,fixa,com avanco livre de 1,30m,com tabelas de compensado naval,aros e redes,inclusive fixação,  respeitando normas oficiais pertinentes.FORNECIMENTO E COLOCAÇÃO</t>
  </si>
  <si>
    <r>
      <t>Parede de blocos intertravados de concreto 15x29x8cm,assentes argamassa de cimento e areia,no traco 1:4,preparo mecanico.</t>
    </r>
    <r>
      <rPr>
        <b/>
        <sz val="12"/>
        <rFont val="Arial"/>
        <family val="2"/>
      </rPr>
      <t xml:space="preserve"> ( muro lateral da quadra)</t>
    </r>
  </si>
  <si>
    <r>
      <t>Parede de blocos intertravados de concreto 15x29x8cm,assentes argamassa de cimento e areia,no traco 1:4,preparo mecanico.</t>
    </r>
    <r>
      <rPr>
        <b/>
        <sz val="12"/>
        <rFont val="Arial"/>
        <family val="2"/>
      </rPr>
      <t xml:space="preserve">   ( muro lateral da quadra)</t>
    </r>
  </si>
  <si>
    <t>05054</t>
  </si>
  <si>
    <t>POSTE DE CONCRETO CIRCULAR, 100 KG, H = 7 M (NBR 8451)</t>
  </si>
  <si>
    <t>Si000041598 alterado</t>
  </si>
  <si>
    <r>
      <t xml:space="preserve">Entrada de energia individual padrao light,medicao direta,rede subterranea,demanda entre 8,0 e 23,3kva,inclusive caixa s eccionadora(cs100)e caixa transparente para medicao(ctm),caixa de disjuntor polifasico(ctp)e caixa de disjuntor trifasic o(cdj3)e demais materiais necessarios,exclusive disjuntor efios de entrada e saida, exclusive poste de concreto </t>
    </r>
    <r>
      <rPr>
        <b/>
        <u val="single"/>
        <sz val="14"/>
        <color indexed="8"/>
        <rFont val="Arial"/>
        <family val="2"/>
      </rPr>
      <t>(será reaproveitado poste usado na entrada provisória: item 1.3)</t>
    </r>
  </si>
  <si>
    <r>
      <t>Entrada provisoria de energia eletrica aerea trifasica 40a em poste de concreto circular, 100kg, h=7m (NBR 8451) -</t>
    </r>
    <r>
      <rPr>
        <b/>
        <u val="single"/>
        <sz val="14"/>
        <color indexed="8"/>
        <rFont val="Arial"/>
        <family val="2"/>
      </rPr>
      <t>( poste será aproveitado para montagem da entrada definitiva ITEM 5.16)</t>
    </r>
  </si>
  <si>
    <t>PLACA DE IDENTIFICACAO DE OBRA PUBLICA,INCLUSIVE PINTURA E SUPORTES DE MADEIRA.FORNECIMENTO E COLOCACAO (OBS.:3% - DESGASTE DE FERRAMENTAS E EPI).</t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</si>
  <si>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Abril-19</t>
    </r>
  </si>
  <si>
    <t>SI74209/001</t>
  </si>
  <si>
    <t>PLACA DE OBRA EM CHAPA DE ACO GALVANIZADO</t>
  </si>
  <si>
    <t>PONTALETE DE MADEIRA NAO APARELHADA *7,5 X 7,5* CM (3 X 3 ") PINUS, MISTA OU EQUIVALENTE DA REGIAO</t>
  </si>
  <si>
    <t>BARRACAO OBRA C/PAREDES CHAPAS MAD.COMP.PLASTIF.LISA,COLAGEM FENOLICA,PROVA D'AGUA,2,44X1,22M,9MM ESP.PISO/ESTRUT.MAD.3¦ ,COBERT.TELHAS ONDULADAS 6MM FIBROCIMENTO,EXCL.PINT.E LIG.PROVIS.INCL.INST.APARELHOS,ESQUADRIAS E FERRAG.PROJ.2005,ESCRI T.SANITARIOS,DEPOSITOS E TORRE C/CAIXA D'AGUA 1000L,REAPROVEITADO 5 VEZES,C/ALOJAMENTO CONF.PROJ.2008,ACIMA SOLO 2,50M (OBS.:3%-DESGASTE DE FERRAMENTAS E EPI 1%-GRAMPO E ROSETA MADEIRA).</t>
  </si>
  <si>
    <t>INSTALACAO E LIGACAO PROVISORIA PARA ABASTECIMENTO DE AGUA E ESGOTAMENTO SANITARIO EM CANTEIRO DE OBRAS,INCLUSIVE ESCAVA CAO,EXCLUSIVE REPOSICAO DA PAVIMENTACAO DO LOGRADOURO PUBLICO (OBS.:3% - DESGASTE DE FERRAMENTAS E EPI).</t>
  </si>
  <si>
    <t>SI000097626</t>
  </si>
  <si>
    <t>DEMOLIÇÃO DE PILARES E VIGAS EM CONCRETO ARMADO, DE FORMA MANUAL, SEM REAPROVEITAMENTO. AF_12/2017</t>
  </si>
  <si>
    <t>42655</t>
  </si>
  <si>
    <t>CABO DE ACO GALVANIZADO, DIAMETRO 9,53 MM (3/8"), COM ALMA DE FIBRA 6 X 25 F  (COLETADO CAIXA)</t>
  </si>
  <si>
    <t>GUINDAUTO HIDRÁULICO, CAPACIDADE MÁXIMA DE CARGA 6200 KG, MOMENTO MÁXIMO DE CARGA 11,7 TM, ALCANCE MÁXIMO HORIZONTAL 9,70 M, INCLUSIVE CAMINHÃO TOCO PBT 16.000 KG, POTÊNCIA DE 189 CV - CHI DIURNO. AF_06/2014</t>
  </si>
  <si>
    <t>GUINDAUTO HIDRÁULICO, CAPACIDADE MÁXIMA DE CARGA 6200 KG, MOMENTO MÁXIMO DE CARGA 11,7 TM, ALCANCE MÁXIMO HORIZONTAL 9,70 M, INCLUSIVE CAMINHÃO TOCO PBT 16.000 KG, POTÊNCIA DE 189 CV - CHP DIURNO. AF_06/2014</t>
  </si>
  <si>
    <t>CORTE E DOBRA DE AÇO CA-50, DIÂMETRO DE 6,3 MM, UTILIZADO EM ESTRUTURAS DIVERSAS, EXCETO LAJES. AF_12/2015</t>
  </si>
  <si>
    <t>CORTE E DOBRA DE AÇO CA-50, DIÂMETRO DE 10,0 MM, UTILIZADO EM ESTRUTURAS DIVERSAS, EXCETO LAJES. AF_12/2015</t>
  </si>
  <si>
    <t>MINIESCAVADEIRA SOBRE ESTEIRAS, POTENCIA LIQUIDA DE *30* HP, PESO OPERACIONAL DE *3.500* KG - CHI DIURNO. AF_04/2017</t>
  </si>
  <si>
    <t>MINIESCAVADEIRA SOBRE ESTEIRAS, POTENCIA LIQUIDA DE *30* HP, PESO OPERACIONAL DE *3.500* KG - CHP DIURNO. AF_04/2017</t>
  </si>
  <si>
    <t>TABUA DE MADEIRA NAO APARELHADA *2,5 X 30* CM, CEDRINHO OU EQUIVALENTE DA REGIAO</t>
  </si>
  <si>
    <t>SARRAFO DE MADEIRA NAO APARELHADA *2,5 X 7,5* CM (1 X 3 ") PINUS, MISTA OU EQUIVALENTE DA REGIAO</t>
  </si>
  <si>
    <t>SI000096557</t>
  </si>
  <si>
    <t>CONCRETAGEM DE BLOCOS DE COROAMENTO E VIGAS BALDRAMES, FCK 30 MPA, COM USO DE BOMBA  LANÇAMENTO, ADENSAMENTO E ACABAMENTO. AF_06/2017</t>
  </si>
  <si>
    <t>01525</t>
  </si>
  <si>
    <t>CONCRETO USINADO BOMBEAVEL, CLASSE DE RESISTENCIA C30, COM BRITA 0 E 1, SLUMP = 100 +/- 20 MM, INCLUI SERVICO DE BOMBEAMENTO (NBR 8953)</t>
  </si>
  <si>
    <t>SI000090587</t>
  </si>
  <si>
    <t>SI000090587 VIBRADOR DE IMERSÃO, DIÂMETRO DE PONTEIRA 45MM, MOTOR ELÉTRICO TRIFÁSICO POTÊNCIA DE 2 CV - CHI DIURNO. AF_06/2015</t>
  </si>
  <si>
    <t>SI000090586</t>
  </si>
  <si>
    <t>SI000090586 VIBRADOR DE IMERSÃO, DIÂMETRO DE PONTEIRA 45MM, MOTOR ELÉTRICO TRIFÁSICO POTÊNCIA DE 2 CV - CHP DIURNO. AF_06/2015</t>
  </si>
  <si>
    <t>SI000092791</t>
  </si>
  <si>
    <t>SI000092791 CORTE E DOBRA DE AÇO CA-60, DIÂMETRO DE 5,0 MM, UTILIZADO EM ESTRUTURAS DIVERSAS, EXCETO LAJES. AF_12/2015</t>
  </si>
  <si>
    <t>SI000096547</t>
  </si>
  <si>
    <t>ARMAÇÃO DE BLOCO, VIGA BALDRAME OU SAPATA UTILIZANDO AÇO CA-50 DE 12,5 MM - MONTAGEM. AF_06/2017</t>
  </si>
  <si>
    <t>SI000092795</t>
  </si>
  <si>
    <t>SI000092795 CORTE E DOBRA DE AÇO CA-50, DIÂMETRO DE 12,5 MM, UTILIZADO EM ESTRUTURAS DIVERSAS, EXCETO LAJES. AF_12/2015</t>
  </si>
  <si>
    <t>SI000092269</t>
  </si>
  <si>
    <t>FABRICAÇÃO DE FÔRMA PARA PILARES E ESTRUTURAS SIMILARES, EM MADEIRA SERRADA, E=25 MM. AF_12/2015</t>
  </si>
  <si>
    <t>05068</t>
  </si>
  <si>
    <t>PREGO DE ACO POLIDO COM CABECA 17 X 21 (2 X 11)</t>
  </si>
  <si>
    <t>SI000092722</t>
  </si>
  <si>
    <t>CONCRETAGEM DE PILARES, FCK = 25 MPA, COM USO DE BOMBA EM EDIFICAÇÃO COM SEÇÃO MÉDIA DE PILARES MAIOR QUE 0,25 M² - LANÇAMENTO, ADENSAMENTO E ACABAMENTO. AF_12/2015</t>
  </si>
  <si>
    <t>VIBRADOR DE IMERSÃO, DIÂMETRO DE PONTEIRA 45MM, MOTOR ELÉTRICO TRIFÁSICO POTÊNCIA DE 2 CV - CHI DIURNO. AF_06/2015</t>
  </si>
  <si>
    <t>VIBRADOR DE IMERSÃO, DIÂMETRO DE PONTEIRA 45MM, MOTOR ELÉTRICO TRIFÁSICO POTÊNCIA DE 2 CV - CHP DIURNO. AF_06/2015</t>
  </si>
  <si>
    <t>SI000092775</t>
  </si>
  <si>
    <t>ARMAÇÃO DE PILAR OU VIGA DE UMA ESTRUTURA CONVENCIONAL DE CONCRETO ARMADO EM UMA EDIFICAÇÃO TÉRREA OU SOBRADO UTILIZANDO AÇO CA-60 DE 5,0 MM - MONTAGEM. AF_12/2015</t>
  </si>
  <si>
    <t>SI000092778</t>
  </si>
  <si>
    <t>ARMAÇÃO DE PILAR OU VIGA DE UMA ESTRUTURA CONVENCIONAL DE CONCRETO ARMADO EM UMA EDIFICAÇÃO TÉRREA OU SOBRADO UTILIZANDO AÇO CA-50 DE 10,0 MM - MONTAGEM. AF_12/2015</t>
  </si>
  <si>
    <t>SI000092270</t>
  </si>
  <si>
    <t>FABRICAÇÃO DE FÔRMA PARA VIGAS, COM MADEIRA SERRADA, E = 25 MM. AF_12/2015</t>
  </si>
  <si>
    <t>CIMENTO PORTLAND CP II 32, EM SACO DE 50KG</t>
  </si>
  <si>
    <t>SI000090991</t>
  </si>
  <si>
    <t>ESCAVADEIRA HIDRÁULICA SOBRE ESTEIRAS, CAÇAMBA 0,80 M3, PESO OPERACIONAL 17,8 T, POTÊNCIA LÍQUIDA 110 HP - CHP DIURNO. AF_10/2014</t>
  </si>
  <si>
    <t>ARGILA OU BARRO PARA ATERRO/REATERRO (RETIRADO NA JAZIDA, SEM TRANSPORTE)</t>
  </si>
  <si>
    <t>SINAPI 06077</t>
  </si>
  <si>
    <t>07319</t>
  </si>
  <si>
    <t>TINTA ASFALTICA IMPERMEABILIZANTE DISPERSA EM AGUA, PARA MATERIAIS CIMENTICIOS</t>
  </si>
  <si>
    <t>SI75029/001</t>
  </si>
  <si>
    <t>TUBO PVC CORRUGADO RIGIDO PERFURADO DN 150 PARA DRENAGEM - FORNECIMENTO E INSTALACAO</t>
  </si>
  <si>
    <t>09834</t>
  </si>
  <si>
    <t>TUBO PVC, RIGIDO, CORRUGADO, PERFURADO, DN 150 MM, PARA DRENAGEM, SISTEMA IRRIGACAO</t>
  </si>
  <si>
    <t>SI000083680</t>
  </si>
  <si>
    <t>TUBO PVC D=3" COM MATERIAL DRENANTE PARA DRENO/BARBACA - FORNECIMENTO E INSTALACAO</t>
  </si>
  <si>
    <t>09837</t>
  </si>
  <si>
    <t>TUBO PVC SERIE NORMAL, DN 75 MM, PARA ESGOTO PREDIAL (NBR 5688)</t>
  </si>
  <si>
    <t>PEDRA BRITADA N. 3 (38 A 50 MM) POSTO PEDREIRA/FORNECEDOR, SEM FRETE</t>
  </si>
  <si>
    <t>TUBO DE PVC PARA ESGOTO, REFORCADO, PONTA E BOLSA, INCLUSIVE ANEL DE BORRACHA, ABNT-NBR 7362, DE 250MM</t>
  </si>
  <si>
    <t>34494</t>
  </si>
  <si>
    <t>CONCRETO USINADO BOMBEAVEL, CLASSE DE RESISTENCIA C30, COM BRITA 0 E 1, SLUMP = 100 +/- 20 MM, EXCLUI SERVICO DE BOMBEAMENTO (NBR 8953)</t>
  </si>
  <si>
    <t>SI000095270</t>
  </si>
  <si>
    <t>SI000095271</t>
  </si>
  <si>
    <t>21141</t>
  </si>
  <si>
    <t>TELA DE ACO SOLDADA NERVURADA CA-60, Q-92, (1,48 KG/M2), DIAMETRO DO FIO = 4,2 MM, LARGURA =  2,45 X 60 M DE COMPRIMENTO, ESPACAMENTO DA MALHA = 15  X 15 CM</t>
  </si>
  <si>
    <t>07156</t>
  </si>
  <si>
    <t>TELA DE ACO SOLDADA NERVURADA, CA-60, Q-196, (3,11 KG/M2), DIAMETRO DO FIO = 5,0 MM, LARGURA =  2,45 M, ESPACAMENTO DA MALHA = 10 X 10 CM</t>
  </si>
  <si>
    <t>GRAUTE FGK=30 MPA; TRAÇO 1:0,02:0,8:1,1 (CIMENTO/ CAL/ AREIA GROSSA/ BRITA 0) - PREPARO MECÂNICO COM BETONEIRA 400 L. AF_02/2015</t>
  </si>
  <si>
    <t>04720</t>
  </si>
  <si>
    <t>PEDRA BRITADA N. 0, OU PEDRISCO (4,8 A 9,5 MM) POSTO PEDREIRA/FORNECEDOR, SEM FRETE</t>
  </si>
  <si>
    <t>CIMENTO PORTLAND COMPOSTO CP II-32</t>
  </si>
  <si>
    <t>CAL HIDRATADA CH-I PARA ARGAMASSAS</t>
  </si>
  <si>
    <t>00367</t>
  </si>
  <si>
    <t>AREIA GROSSA - POSTO JAZIDA/FORNECEDOR (RETIRADO NA JAZIDA, SEM TRANSPORTE)</t>
  </si>
  <si>
    <t>SI000088377</t>
  </si>
  <si>
    <t>OPERADOR DE BETONEIRA ESTACIONÁRIA/MISTURADOR COM ENCARGOS COMPLEMENTARES</t>
  </si>
  <si>
    <t>SI000088831</t>
  </si>
  <si>
    <t>SI000088831 BETONEIRA CAPACIDADE NOMINAL DE 400 L, CAPACIDADE DE MISTURA 280 L, MOTOR ELÉTRICO TRIFÁSICO POTÊNCIA DE 2 CV, SEM CARREGADOR - CHI DIURNO. AF_10/2014</t>
  </si>
  <si>
    <t>SI000088830</t>
  </si>
  <si>
    <t>SI000088830 BETONEIRA CAPACIDADE NOMINAL DE 400 L, CAPACIDADE DE MISTURA 280 L, MOTOR ELÉTRICO TRIFÁSICO POTÊNCIA DE 2 CV, SEM CARREGADOR - CHP DIURNO. AF_10/2014</t>
  </si>
  <si>
    <t>BLOQUETE/PISO DE CONCRETO - MODELO BLOCO PISOGRAMA/CONCREGRAMA 2 FUROS, *35  CM X 15* CM, E =  *8* CM, COR NATURAL</t>
  </si>
  <si>
    <t>TUBO ACO GALVANIZADO COM COSTURA, CLASSE MEDIA, DN 2", E = *3,65* MM, PESO *5,10* KG/M (NBR 5580)</t>
  </si>
  <si>
    <t>TELA DE ARAME GALV QUADRANGULAR / LOSANGULAR,  FIO 2,11 MM (14 BWG), MALHA  5 X 5 CM, H = 2 M</t>
  </si>
  <si>
    <t>TELA DE ARAME GALV QUADRANGULAR / LOSANGULAR,  FIO 2,77 MM (12 BWG), MALHA  5 X 5 CM, H = 2 M</t>
  </si>
  <si>
    <t>ARAME GALVANIZADO 10 BWG, 3,40 MM (0,0713 KG/M)</t>
  </si>
  <si>
    <t>ARAME GALVANIZADO 14 BWG, D = 2,11 MM (0,026 KG/M)</t>
  </si>
  <si>
    <t>SERRALHEIRO COM ENCARGOS COMPLEMENTARES</t>
  </si>
  <si>
    <t>FECHO DE HASTE REDONDA, FERRO PARA PINTURA, DE 18CM</t>
  </si>
  <si>
    <t>PARAFUSO DE ACO TIPO CHUMBADOR PARABOLT, DIAMETRO 3/8", COMPRIMENTO 75 MM</t>
  </si>
  <si>
    <t>01332</t>
  </si>
  <si>
    <t>CHAPA DE ACO GROSSA, ASTM A36, E = 3/8 " (9,53 MM) 74,69 KG/M2</t>
  </si>
  <si>
    <t>39746</t>
  </si>
  <si>
    <t>CHUMBADOR DE ACO, 1" X 600 MM, PARA POSTES DE ACO COM BASE, INCLUSO PORCA E ARRUELA</t>
  </si>
  <si>
    <t>TIJOLO CERAMICO MACICO *5 X 10 X 20* CM</t>
  </si>
  <si>
    <t>PEDRA BRITADA N. 1 (9,5 a 19 MM) POSTO PEDREIRA/FORNECEDOR, SEM FRETE</t>
  </si>
  <si>
    <t>CHAPA DE MADEIRA COMPENSADA RESINADA PARA FORMA DE CONCRETO, DE *2,2 X 1,1* M, E = 17 MM</t>
  </si>
  <si>
    <t>AREIA MEDIA - POSTO JAZIDA/FORNECEDOR (RETIRADO NA JAZIDA, SEM TRANSPORTE)</t>
  </si>
  <si>
    <t>ACO CA-60, 5,0 MM, VERGALHAO</t>
  </si>
  <si>
    <t>SI000094964</t>
  </si>
  <si>
    <t>CONCRETO FCK = 20MPA, TRAÇO 1:2,7:3 (CIMENTO/ AREIA MÉDIA/ BRITA 1)  - PREPARO MECÂNICO COM BETONEIRA 400 L. AF_07/2016</t>
  </si>
  <si>
    <t>SI000083463</t>
  </si>
  <si>
    <t>QUADRO DE DISTRIBUICAO DE ENERGIA EM CHAPA DE ACO GALVANIZADO, PARA 12 DISJUNTORES TERMOMAGNETICOS MONOPOLARES, COM BARRAMENTO TRIFASICO E NEUTRO - FORNECIMENTO E INSTALACAO</t>
  </si>
  <si>
    <t>13393</t>
  </si>
  <si>
    <t>QUADRO DE DISTRIBUICAO COM BARRAMENTO TRIFASICO, DE EMBUTIR, EM CHAPA DE ACO GALVANIZADO, PARA 12 DISJUNTORES DIN, 100 A</t>
  </si>
  <si>
    <t>SI000088247</t>
  </si>
  <si>
    <t>AUXILIAR DE ELETRICISTA COM ENCARGOS COMPLEMENTARES</t>
  </si>
  <si>
    <t>SI000093657</t>
  </si>
  <si>
    <t>DISJUNTOR MONOPOLAR TIPO DIN, CORRENTE NOMINAL DE 32A - FORNECIMENTO E INSTALAÇÃO. AF_04/2016</t>
  </si>
  <si>
    <t>34653</t>
  </si>
  <si>
    <t>DISJUNTOR TIPO DIN/IEC, MONOPOLAR DE 6  ATE  32A</t>
  </si>
  <si>
    <t>01573</t>
  </si>
  <si>
    <t>TERMINAL A COMPRESSAO EM COBRE ESTANHADO PARA CABO 6 MM2, 1 FURO E 1 COMPRESSAO, PARA PARAFUSO DE FIXACAO M6</t>
  </si>
  <si>
    <t>DISJUNTOR BIPOLAR TIPO DIN, CORRENTE NOMINAL DE 16A - FORNECIMENTO E INSTALAÇÃO. AF_04/2016</t>
  </si>
  <si>
    <t>DISJUNTOR TIPO DIN/IEC, BIPOLAR DE 6 ATE 32A</t>
  </si>
  <si>
    <t>TERMINAL A COMPRESSAO EM COBRE ESTANHADO PARA CABO 2,5 MM2, 1 FURO E 1 COMPRESSAO, PARA PARAFUSO DE FIXACAO M5</t>
  </si>
  <si>
    <t>SI000093662</t>
  </si>
  <si>
    <t>DISJUNTOR BIPOLAR TIPO DIN, CORRENTE NOMINAL DE 20A - FORNECIMENTO E INSTALAÇÃO. AF_04/2016</t>
  </si>
  <si>
    <t>34616</t>
  </si>
  <si>
    <t>01571</t>
  </si>
  <si>
    <t>TERMINAL A COMPRESSAO EM COBRE ESTANHADO PARA CABO 4 MM2, 1 FURO E 1 COMPRESSAO, PARA PARAFUSO DE FIXACAO M5</t>
  </si>
  <si>
    <t>SI000093672</t>
  </si>
  <si>
    <t>DISJUNTOR TRIPOLAR TIPO DIN, CORRENTE NOMINAL DE 40A - FORNECIMENTO E INSTALAÇÃO. AF_04/2016</t>
  </si>
  <si>
    <t>34709</t>
  </si>
  <si>
    <t>DISJUNTOR TIPO DIN/IEC, TRIPOLAR DE 10 ATE 50A</t>
  </si>
  <si>
    <t>01574</t>
  </si>
  <si>
    <t>TERMINAL A COMPRESSAO EM COBRE ESTANHADO PARA CABO 10 MM2, 1 FURO E 1 COMPRESSAO, PARA PARAFUSO DE FIXACAO M6</t>
  </si>
  <si>
    <t>SI000096985</t>
  </si>
  <si>
    <t>HASTE DE ATERRAMENTO 5/8  PARA SPDA - FORNECIMENTO E INSTALAÇÃO. AF_12/2017</t>
  </si>
  <si>
    <t>SI000088485</t>
  </si>
  <si>
    <t>APLICAÇÃO DE FUNDO SELADOR ACRÍLICO EM PAREDES, UMA DEMÃO. AF_06/2014</t>
  </si>
  <si>
    <t>06085</t>
  </si>
  <si>
    <t>SELADOR ACRILICO PAREDES INTERNAS/EXTERNAS</t>
  </si>
  <si>
    <t>SI000088310</t>
  </si>
  <si>
    <t>PINTOR COM ENCARGOS COMPLEMENTARES</t>
  </si>
  <si>
    <t>SI000088489</t>
  </si>
  <si>
    <t>APLICAÇÃO MANUAL DE PINTURA COM TINTA LÁTEX ACRÍLICA EM PAREDES, DUAS DEMÃOS. AF_06/2014</t>
  </si>
  <si>
    <t>07356</t>
  </si>
  <si>
    <t>TINTA ACRILICA PREMIUM, COR BRANCO FOSCO</t>
  </si>
  <si>
    <t>SI74245/001</t>
  </si>
  <si>
    <t>PINTURA ACRILICA EM PISO CIMENTADO DUAS DEMAOS</t>
  </si>
  <si>
    <t>07348</t>
  </si>
  <si>
    <t>TINTA ACRILICA PREMIUM PARA PISO</t>
  </si>
  <si>
    <t>SI000041595</t>
  </si>
  <si>
    <t>PINTURA ACRILICA DE FAIXAS DE DEMARCACAO EM QUADRA POLIESPORTIVA, 5 CM DE LARGURA</t>
  </si>
  <si>
    <t>12815</t>
  </si>
  <si>
    <t>FITA CREPE ROLO DE 25 MM X 50 M</t>
  </si>
  <si>
    <t>SI000094273</t>
  </si>
  <si>
    <t>ASSENTAMENTO DE GUIA (MEIO-FIO) EM TRECHO RETO, CONFECCIONADA EM CONCRETO PRÉ-FABRICADO, DIMENSÕES 100X15X13X30 CM (COMPRIMENTO X BASE INFERIOR X BASE SUPERIOR X ALTURA), PARA VIAS URBANAS (USO VIÁRIO). AF_06/2016</t>
  </si>
  <si>
    <t>04059</t>
  </si>
  <si>
    <t>MEIO-FIO OU GUIA DE CONCRETO, PRE-MOLDADO, COMP 1 M, *30 X 15/ 12* CM (H X L1/L2)</t>
  </si>
  <si>
    <t>SI000088629</t>
  </si>
  <si>
    <t>SI000088629 ARGAMASSA TRAÇO 1:3 (CIMENTO E AREIA MÉDIA), PREPARO MANUAL. AF_08/2014</t>
  </si>
  <si>
    <t>04460</t>
  </si>
  <si>
    <t>SARRAFO DE MADEIRA NAO APARELHADA *2,5 X 10 CM, MACARANDUBA, ANGELIM OU EQUIVALENTE DA REGIAO</t>
  </si>
  <si>
    <t>SI000094990</t>
  </si>
  <si>
    <t>EXECUÇÃO DE PASSEIO (CALÇADA) OU PISO DE CONCRETO COM CONCRETO MOLDADO IN LOCO, FEITO EM OBRA, ACABAMENTO CONVENCIONAL, NÃO ARMADO. AF_07/2016</t>
  </si>
  <si>
    <t>SI000094964 CONCRETO FCK = 20MPA, TRAÇO 1:2,7:3 (CIMENTO/ AREIA MÉDIA/ BRITA 1)  - PREPARO MECÂNICO COM BETONEIRA 400 L. AF_07/2016</t>
  </si>
  <si>
    <t>SI000092271</t>
  </si>
  <si>
    <t>FABRICAÇÃO DE FÔRMA PARA LAJES, EM MADEIRA SERRADA, E=25 MM. AF_12/2015</t>
  </si>
  <si>
    <t>SI000006171</t>
  </si>
  <si>
    <t>TAMPA DE CONCRETO ARMADO 60X60X5CM PARA CAIXA</t>
  </si>
  <si>
    <t>04718</t>
  </si>
  <si>
    <t>PEDRA BRITADA N. 2 (19 A 38 MM) POSTO PEDREIRA/FORNECEDOR, SEM FRETE</t>
  </si>
  <si>
    <t>04512</t>
  </si>
  <si>
    <t>SARRAFO DE MADEIRA NAO APARELHADA 2,5 X 5 CM (1 X 2 ") PINUS, MISTA OU EQUIVALENTE DA REGIAO</t>
  </si>
  <si>
    <t>00345</t>
  </si>
  <si>
    <t>ARAME GALVANIZADO 18 BWG, 1,24MM (0,009 KG/M)</t>
  </si>
  <si>
    <t>SI000005961</t>
  </si>
  <si>
    <t>CAMINHÃO BASCULANTE 6 M3, PESO BRUTO TOTAL 16.000 KG, CARGA ÚTIL MÁXIMA 13.071 KG, DISTÂNCIA ENTRE EIXOS 4,80 M, POTÊNCIA 230 CV INCLUSIVE CAÇAMBA METÁLICA - CHI DIURNO. AF_06/2014</t>
  </si>
  <si>
    <t>SI000005940</t>
  </si>
  <si>
    <t>PÁ CARREGADEIRA SOBRE RODAS, POTÊNCIA LÍQUIDA 128 HP, CAPACIDADE DA CAÇAMBA 1,7 A 2,8 M3, PESO OPERACIONAL 11632 KG - CHP DIURNO. AF_06/2014</t>
  </si>
  <si>
    <t>SI000005811</t>
  </si>
  <si>
    <t>CAMINHÃO BASCULANTE 6 M3, PESO BRUTO TOTAL 16.000 KG, CARGA ÚTIL MÁXIMA 13.071 KG, DISTÂNCIA ENTRE EIXOS 4,80 M, POTÊNCIA 230 CV INCLUSIVE CAÇAMBA METÁLICA - CHP DIURNO. AF_06/2014</t>
  </si>
  <si>
    <t>SI000067827</t>
  </si>
  <si>
    <t>CAMINHÃO BASCULANTE 6 M3 TOCO, PESO BRUTO TOTAL 16.000 KG, CARGA ÚTIL MÁXIMA 11.130 KG, DISTÂNCIA ENTRE EIXOS 5,36 M, POTÊNCIA 185 CV, INCLUSIVE CAÇAMBA METÁLICA - CHI DIURNO. AF_06/2014</t>
  </si>
  <si>
    <t>SI000067826</t>
  </si>
  <si>
    <t>CAMINHÃO BASCULANTE 6 M3 TOCO, PESO BRUTO TOTAL 16.000 KG, CARGA ÚTIL MÁXIMA 11.130 KG, DISTÂNCIA ENTRE EIXOS 5,36 M, POTÊNCIA 185 CV, INCLUSIVE CAÇAMBA METÁLICA - CHP DIURNO. AF_06/2014</t>
  </si>
  <si>
    <t>SI000005824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</si>
  <si>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</si>
  <si>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Data-Base:   EMOP -  RJ / SINAPI e SCO-RJ- Desonerado - Base ABRIL-19</t>
  </si>
  <si>
    <t>SI000097994</t>
  </si>
  <si>
    <t>Si000095241</t>
  </si>
  <si>
    <t>10.003.0080-A</t>
  </si>
  <si>
    <t>ESTACA DE CONCRETO ARMADO,MOLDADA NO TERRENO,TIPO HELICE CONTINUA,DIAMETRO DE 400MM,CAPACIDADE DE CARGA DE 60T A 80T,INC LUSIVE FORNECIMENTO DOS MATERIAIS CONSIDERANDO O TRECHO CRAVADO E CONCRETADO (OBS.:3%-DESGASTE DE FERRAMENTAS E EPI).</t>
  </si>
  <si>
    <t>13420</t>
  </si>
  <si>
    <t>ELETRODO C/DIAM.DE 5MM (3/16"), E-7018-6G</t>
  </si>
  <si>
    <t>11025</t>
  </si>
  <si>
    <t>CONCRETO BOMBEAVEL, ADITIVADO E TRANSPORTE, COM RESISTENCIA CARACTERISTICA A COMPRESSAO DE 28MPA, UTILIZANDO BRITA 1</t>
  </si>
  <si>
    <t>20134</t>
  </si>
  <si>
    <t>MAO-DE-OBRA DE SOLDADOR DA CONSTRUCAO CIVIL, INCLUSIVE ENCARGOS SOCIAIS DESONERADOS</t>
  </si>
  <si>
    <t>30857</t>
  </si>
  <si>
    <t>19.011.0045-C RETIFICADOR SOLDA ELETRICA DE 430A (CP)</t>
  </si>
  <si>
    <t>30854</t>
  </si>
  <si>
    <t>19.011.0040-C ROTATIVA P/EXECUCAO POCOS PROFUNDOS (CP)</t>
  </si>
  <si>
    <t>30423</t>
  </si>
  <si>
    <t>19.004.0012-C CAMINHAO BASCUL. NO TOCO, 5M3 (CP)</t>
  </si>
  <si>
    <t>30310</t>
  </si>
  <si>
    <t>11.011.0031-B CORTE ACO CA-50 B,DIAM. ACIMA 12,5MM</t>
  </si>
  <si>
    <t>30306</t>
  </si>
  <si>
    <t>11.011.0023-B CORTE ACO CA-25 DIAM. IGUAL A 6,3MM</t>
  </si>
  <si>
    <t>30303</t>
  </si>
  <si>
    <t>11.009.0015-B BARRA ACO CA-50B DIAM. ACIMA DE 12,5MM</t>
  </si>
  <si>
    <t>30300</t>
  </si>
  <si>
    <t>11.008.0001-B BARRA ACO CA-25 DIAM. IGUAL A 5MM</t>
  </si>
  <si>
    <t>01.009.0050-A</t>
  </si>
  <si>
    <t>MOBILIZACAO E DESMOBILIZACAO DE EQUIPAMENTO E EQUIPE DE SONDAGEM E PERFURACAO ROTATIVA,COM TRANSPORTE ATE 50KM (OBS.:34% - DESGASTE DE FERRAMENTAS E EPI (3%) E ASSISTENCIA TECNI CA (30%)).</t>
  </si>
  <si>
    <t>20147</t>
  </si>
  <si>
    <t>MAO-DE-OBRA DE TECNICO DE SONDAGEM, INCLUSIVE ENCARGOS SOCIAIS DESONERADOS</t>
  </si>
  <si>
    <t>20138</t>
  </si>
  <si>
    <t>MAO-DE-OBRA DE SONDADOR B (ESPECIALISTADE MENOR QUALIDADE), INCLUSIVE ENCARGOSSOCIAIS DESONERADOS</t>
  </si>
  <si>
    <t>20137</t>
  </si>
  <si>
    <t>MAO-DE-OBRA DE SONDADOR A (ESPECIALISTADA MAIS ALTO QUALIDADE), INCLUSIVE ENCARGOS SOCIAIS DESONERADOS</t>
  </si>
  <si>
    <t>01446</t>
  </si>
  <si>
    <t>SONDA ROTATIVA, C/MOTOR A GASOLINA 30HP</t>
  </si>
  <si>
    <t>01443</t>
  </si>
  <si>
    <t>BOMBA COM MOTOR DIESEL PARA SONDAGEM</t>
  </si>
  <si>
    <t>30416</t>
  </si>
  <si>
    <t>19.004.0004-E CAMINHAO CARROC. FIXA 7,5T (CI)</t>
  </si>
  <si>
    <t>30414</t>
  </si>
  <si>
    <t>19.004.0004-C CAMINHAO CARROC. FIXA, 7,5T (CP)</t>
  </si>
  <si>
    <t>2.71</t>
  </si>
  <si>
    <t>2.72</t>
  </si>
  <si>
    <t>PLANILHA ORÇAMENTÁRIA - CONSIDERADO BDI = 29,77% NOS CUSTOS UNITÁRIOS DE CADA ITEM exceto NO ITEM 9.4 CUJO BDI É 23,02%.</t>
  </si>
  <si>
    <t>DATA:13/02//2019 - Revisão 11-12-2019</t>
  </si>
  <si>
    <t>Si0073806/001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</si>
</sst>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General\ "/>
    <numFmt numFmtId="190" formatCode="dd/mm/yy;@"/>
    <numFmt numFmtId="191" formatCode="&quot;R$ &quot;#,##0.00"/>
    <numFmt numFmtId="192" formatCode="0.000%"/>
    <numFmt numFmtId="193" formatCode="_ * #,##0.00_ ;_ * \-#,##0.00_ ;_ * &quot;-&quot;??_ ;_ @_ "/>
    <numFmt numFmtId="194" formatCode="#,#00"/>
    <numFmt numFmtId="195" formatCode="&quot;R$ &quot;#,##0.00;[Red]&quot;R$ &quot;#,##0.00"/>
    <numFmt numFmtId="196" formatCode="&quot;R$&quot;\ #,##0.000"/>
    <numFmt numFmtId="197" formatCode="&quot; R$ &quot;* #,##0.00\ ;&quot; R$ &quot;* \(#,##0.00\);&quot; R$ &quot;* \-#\ ;@\ "/>
    <numFmt numFmtId="198" formatCode="%#,#00"/>
    <numFmt numFmtId="199" formatCode="#.#####"/>
    <numFmt numFmtId="200" formatCode="#,"/>
    <numFmt numFmtId="201" formatCode="#,##0.000"/>
    <numFmt numFmtId="202" formatCode="_(* #,##0.00_);_(* \(#,##0.00\);_(* \-??_);_(@_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u val="single"/>
      <sz val="12"/>
      <name val="Arial"/>
      <family val="2"/>
    </font>
    <font>
      <sz val="1"/>
      <color indexed="8"/>
      <name val="Courier New"/>
      <family val="3"/>
    </font>
    <font>
      <sz val="12"/>
      <name val="Courier New"/>
      <family val="3"/>
    </font>
    <font>
      <b/>
      <sz val="1"/>
      <color indexed="8"/>
      <name val="Courier New"/>
      <family val="3"/>
    </font>
    <font>
      <sz val="24"/>
      <name val="Switzerland"/>
      <family val="0"/>
    </font>
    <font>
      <b/>
      <sz val="13"/>
      <name val="Arial"/>
      <family val="2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3"/>
      <color indexed="10"/>
      <name val="Calibri"/>
      <family val="2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3"/>
      <color rgb="FFFF0000"/>
      <name val="Arial"/>
      <family val="2"/>
    </font>
    <font>
      <b/>
      <sz val="13"/>
      <color rgb="FFFF0000"/>
      <name val="Calibri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22" fillId="0" borderId="0">
      <alignment/>
      <protection locked="0"/>
    </xf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6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4" fontId="22" fillId="0" borderId="0">
      <alignment/>
      <protection locked="0"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23" fillId="0" borderId="0">
      <alignment/>
      <protection/>
    </xf>
    <xf numFmtId="197" fontId="2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198" fontId="22" fillId="0" borderId="0">
      <alignment/>
      <protection locked="0"/>
    </xf>
    <xf numFmtId="199" fontId="22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21" borderId="5" applyNumberFormat="0" applyAlignment="0" applyProtection="0"/>
    <xf numFmtId="41" fontId="0" fillId="0" borderId="0" applyFont="0" applyFill="0" applyBorder="0" applyAlignment="0" applyProtection="0"/>
    <xf numFmtId="194" fontId="2" fillId="0" borderId="0" applyFill="0" applyBorder="0" applyAlignment="0" applyProtection="0"/>
    <xf numFmtId="188" fontId="2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8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  <xf numFmtId="200" fontId="24" fillId="0" borderId="0">
      <alignment/>
      <protection locked="0"/>
    </xf>
    <xf numFmtId="200" fontId="24" fillId="0" borderId="0">
      <alignment/>
      <protection locked="0"/>
    </xf>
    <xf numFmtId="0" fontId="89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0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3" fillId="0" borderId="0" xfId="69" applyFont="1" applyFill="1" applyBorder="1">
      <alignment/>
      <protection/>
    </xf>
    <xf numFmtId="0" fontId="2" fillId="0" borderId="0" xfId="69" applyFont="1" applyFill="1" applyBorder="1">
      <alignment/>
      <protection/>
    </xf>
    <xf numFmtId="0" fontId="90" fillId="0" borderId="0" xfId="69" applyFont="1" applyFill="1" applyBorder="1">
      <alignment/>
      <protection/>
    </xf>
    <xf numFmtId="49" fontId="91" fillId="33" borderId="11" xfId="88" applyNumberFormat="1" applyFont="1" applyFill="1" applyBorder="1" applyAlignment="1">
      <alignment horizontal="center"/>
      <protection/>
    </xf>
    <xf numFmtId="49" fontId="91" fillId="33" borderId="12" xfId="74" applyNumberFormat="1" applyFont="1" applyFill="1" applyBorder="1">
      <alignment/>
      <protection/>
    </xf>
    <xf numFmtId="4" fontId="91" fillId="33" borderId="12" xfId="74" applyNumberFormat="1" applyFont="1" applyFill="1" applyBorder="1" applyAlignment="1">
      <alignment horizontal="left" readingOrder="1"/>
      <protection/>
    </xf>
    <xf numFmtId="4" fontId="91" fillId="33" borderId="11" xfId="89" applyNumberFormat="1" applyFont="1" applyFill="1" applyBorder="1" applyAlignment="1">
      <alignment horizontal="left" vertical="center"/>
      <protection/>
    </xf>
    <xf numFmtId="4" fontId="91" fillId="33" borderId="12" xfId="0" applyNumberFormat="1" applyFont="1" applyFill="1" applyBorder="1" applyAlignment="1">
      <alignment horizontal="left"/>
    </xf>
    <xf numFmtId="4" fontId="91" fillId="33" borderId="12" xfId="88" applyNumberFormat="1" applyFont="1" applyFill="1" applyBorder="1" applyAlignment="1">
      <alignment horizontal="left"/>
      <protection/>
    </xf>
    <xf numFmtId="4" fontId="91" fillId="33" borderId="13" xfId="88" applyNumberFormat="1" applyFont="1" applyFill="1" applyBorder="1" applyAlignment="1">
      <alignment horizontal="left"/>
      <protection/>
    </xf>
    <xf numFmtId="49" fontId="91" fillId="33" borderId="14" xfId="88" applyNumberFormat="1" applyFont="1" applyFill="1" applyBorder="1" applyAlignment="1">
      <alignment horizontal="center"/>
      <protection/>
    </xf>
    <xf numFmtId="49" fontId="91" fillId="33" borderId="0" xfId="74" applyNumberFormat="1" applyFont="1" applyFill="1" applyBorder="1">
      <alignment/>
      <protection/>
    </xf>
    <xf numFmtId="4" fontId="91" fillId="33" borderId="0" xfId="74" applyNumberFormat="1" applyFont="1" applyFill="1" applyBorder="1" applyAlignment="1">
      <alignment horizontal="left" readingOrder="1"/>
      <protection/>
    </xf>
    <xf numFmtId="4" fontId="91" fillId="33" borderId="14" xfId="89" applyNumberFormat="1" applyFont="1" applyFill="1" applyBorder="1" applyAlignment="1">
      <alignment horizontal="left" vertical="center"/>
      <protection/>
    </xf>
    <xf numFmtId="4" fontId="91" fillId="33" borderId="0" xfId="88" applyNumberFormat="1" applyFont="1" applyFill="1" applyBorder="1" applyAlignment="1">
      <alignment horizontal="left"/>
      <protection/>
    </xf>
    <xf numFmtId="4" fontId="91" fillId="33" borderId="0" xfId="74" applyNumberFormat="1" applyFont="1" applyFill="1" applyBorder="1" applyAlignment="1">
      <alignment horizontal="left"/>
      <protection/>
    </xf>
    <xf numFmtId="4" fontId="91" fillId="33" borderId="15" xfId="74" applyNumberFormat="1" applyFont="1" applyFill="1" applyBorder="1" applyAlignment="1">
      <alignment horizontal="left"/>
      <protection/>
    </xf>
    <xf numFmtId="4" fontId="92" fillId="33" borderId="0" xfId="74" applyNumberFormat="1" applyFont="1" applyFill="1" applyBorder="1" applyAlignment="1">
      <alignment vertical="center" wrapText="1" readingOrder="1"/>
      <protection/>
    </xf>
    <xf numFmtId="4" fontId="92" fillId="33" borderId="0" xfId="74" applyNumberFormat="1" applyFont="1" applyFill="1" applyBorder="1">
      <alignment/>
      <protection/>
    </xf>
    <xf numFmtId="49" fontId="91" fillId="33" borderId="16" xfId="88" applyNumberFormat="1" applyFont="1" applyFill="1" applyBorder="1" applyAlignment="1">
      <alignment horizontal="center"/>
      <protection/>
    </xf>
    <xf numFmtId="49" fontId="91" fillId="33" borderId="17" xfId="89" applyNumberFormat="1" applyFont="1" applyFill="1" applyBorder="1" applyAlignment="1">
      <alignment horizontal="center"/>
      <protection/>
    </xf>
    <xf numFmtId="4" fontId="92" fillId="33" borderId="17" xfId="89" applyNumberFormat="1" applyFont="1" applyFill="1" applyBorder="1" applyAlignment="1">
      <alignment/>
      <protection/>
    </xf>
    <xf numFmtId="0" fontId="7" fillId="0" borderId="18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92" fillId="34" borderId="19" xfId="0" applyFont="1" applyFill="1" applyBorder="1" applyAlignment="1">
      <alignment/>
    </xf>
    <xf numFmtId="0" fontId="92" fillId="34" borderId="19" xfId="0" applyFont="1" applyFill="1" applyBorder="1" applyAlignment="1">
      <alignment horizontal="justify" vertical="justify" wrapText="1"/>
    </xf>
    <xf numFmtId="4" fontId="6" fillId="34" borderId="19" xfId="71" applyNumberFormat="1" applyFont="1" applyFill="1" applyBorder="1" applyAlignment="1">
      <alignment horizontal="right"/>
      <protection/>
    </xf>
    <xf numFmtId="0" fontId="92" fillId="0" borderId="0" xfId="0" applyFont="1" applyAlignment="1">
      <alignment/>
    </xf>
    <xf numFmtId="0" fontId="92" fillId="0" borderId="0" xfId="0" applyFont="1" applyAlignment="1">
      <alignment horizontal="justify" vertical="justify" wrapText="1"/>
    </xf>
    <xf numFmtId="0" fontId="6" fillId="34" borderId="19" xfId="90" applyFont="1" applyFill="1" applyBorder="1" applyAlignment="1">
      <alignment horizontal="center" vertical="center"/>
      <protection/>
    </xf>
    <xf numFmtId="0" fontId="6" fillId="34" borderId="19" xfId="90" applyFont="1" applyFill="1" applyBorder="1" applyAlignment="1">
      <alignment horizontal="justify" vertical="top" wrapText="1"/>
      <protection/>
    </xf>
    <xf numFmtId="4" fontId="6" fillId="34" borderId="19" xfId="90" applyNumberFormat="1" applyFont="1" applyFill="1" applyBorder="1" applyAlignment="1">
      <alignment horizontal="center"/>
      <protection/>
    </xf>
    <xf numFmtId="4" fontId="6" fillId="34" borderId="19" xfId="90" applyNumberFormat="1" applyFont="1" applyFill="1" applyBorder="1" applyAlignment="1">
      <alignment horizontal="right"/>
      <protection/>
    </xf>
    <xf numFmtId="4" fontId="6" fillId="34" borderId="18" xfId="71" applyNumberFormat="1" applyFont="1" applyFill="1" applyBorder="1" applyAlignment="1">
      <alignment horizontal="right"/>
      <protection/>
    </xf>
    <xf numFmtId="0" fontId="6" fillId="0" borderId="11" xfId="90" applyFont="1" applyFill="1" applyBorder="1" applyAlignment="1">
      <alignment horizontal="center" vertical="center"/>
      <protection/>
    </xf>
    <xf numFmtId="0" fontId="6" fillId="0" borderId="12" xfId="90" applyFont="1" applyFill="1" applyBorder="1" applyAlignment="1">
      <alignment horizontal="justify" vertical="top" wrapText="1"/>
      <protection/>
    </xf>
    <xf numFmtId="4" fontId="6" fillId="0" borderId="12" xfId="90" applyNumberFormat="1" applyFont="1" applyFill="1" applyBorder="1" applyAlignment="1">
      <alignment horizontal="center"/>
      <protection/>
    </xf>
    <xf numFmtId="4" fontId="6" fillId="0" borderId="12" xfId="90" applyNumberFormat="1" applyFont="1" applyFill="1" applyBorder="1" applyAlignment="1">
      <alignment horizontal="right"/>
      <protection/>
    </xf>
    <xf numFmtId="4" fontId="6" fillId="0" borderId="13" xfId="71" applyNumberFormat="1" applyFont="1" applyFill="1" applyBorder="1" applyAlignment="1">
      <alignment horizontal="right"/>
      <protection/>
    </xf>
    <xf numFmtId="0" fontId="6" fillId="0" borderId="14" xfId="90" applyFont="1" applyFill="1" applyBorder="1" applyAlignment="1">
      <alignment horizontal="center" vertical="center"/>
      <protection/>
    </xf>
    <xf numFmtId="0" fontId="6" fillId="0" borderId="0" xfId="90" applyFont="1" applyFill="1" applyBorder="1" applyAlignment="1">
      <alignment horizontal="justify" vertical="top" wrapText="1"/>
      <protection/>
    </xf>
    <xf numFmtId="4" fontId="6" fillId="0" borderId="0" xfId="90" applyNumberFormat="1" applyFont="1" applyFill="1" applyBorder="1" applyAlignment="1">
      <alignment horizontal="center"/>
      <protection/>
    </xf>
    <xf numFmtId="4" fontId="6" fillId="0" borderId="0" xfId="90" applyNumberFormat="1" applyFont="1" applyFill="1" applyBorder="1" applyAlignment="1">
      <alignment horizontal="right"/>
      <protection/>
    </xf>
    <xf numFmtId="4" fontId="6" fillId="0" borderId="15" xfId="71" applyNumberFormat="1" applyFont="1" applyFill="1" applyBorder="1" applyAlignment="1">
      <alignment horizontal="right"/>
      <protection/>
    </xf>
    <xf numFmtId="0" fontId="6" fillId="0" borderId="16" xfId="90" applyFont="1" applyFill="1" applyBorder="1" applyAlignment="1">
      <alignment horizontal="center" vertical="center"/>
      <protection/>
    </xf>
    <xf numFmtId="4" fontId="6" fillId="0" borderId="17" xfId="90" applyNumberFormat="1" applyFont="1" applyFill="1" applyBorder="1" applyAlignment="1">
      <alignment horizontal="right"/>
      <protection/>
    </xf>
    <xf numFmtId="4" fontId="6" fillId="0" borderId="20" xfId="71" applyNumberFormat="1" applyFont="1" applyFill="1" applyBorder="1" applyAlignment="1">
      <alignment horizontal="right"/>
      <protection/>
    </xf>
    <xf numFmtId="0" fontId="6" fillId="34" borderId="21" xfId="90" applyFont="1" applyFill="1" applyBorder="1" applyAlignment="1">
      <alignment horizontal="center" vertical="center"/>
      <protection/>
    </xf>
    <xf numFmtId="0" fontId="6" fillId="34" borderId="21" xfId="90" applyFont="1" applyFill="1" applyBorder="1" applyAlignment="1">
      <alignment horizontal="justify" vertical="top" wrapText="1"/>
      <protection/>
    </xf>
    <xf numFmtId="4" fontId="6" fillId="34" borderId="21" xfId="90" applyNumberFormat="1" applyFont="1" applyFill="1" applyBorder="1" applyAlignment="1">
      <alignment horizontal="center"/>
      <protection/>
    </xf>
    <xf numFmtId="4" fontId="6" fillId="34" borderId="21" xfId="90" applyNumberFormat="1" applyFont="1" applyFill="1" applyBorder="1" applyAlignment="1">
      <alignment horizontal="right"/>
      <protection/>
    </xf>
    <xf numFmtId="4" fontId="6" fillId="34" borderId="21" xfId="71" applyNumberFormat="1" applyFont="1" applyFill="1" applyBorder="1" applyAlignment="1">
      <alignment horizontal="right"/>
      <protection/>
    </xf>
    <xf numFmtId="0" fontId="92" fillId="34" borderId="18" xfId="0" applyFont="1" applyFill="1" applyBorder="1" applyAlignment="1">
      <alignment/>
    </xf>
    <xf numFmtId="0" fontId="92" fillId="34" borderId="18" xfId="0" applyFont="1" applyFill="1" applyBorder="1" applyAlignment="1">
      <alignment horizontal="center" vertical="justify" wrapText="1"/>
    </xf>
    <xf numFmtId="0" fontId="92" fillId="34" borderId="18" xfId="0" applyFont="1" applyFill="1" applyBorder="1" applyAlignment="1">
      <alignment horizontal="justify" vertical="justify" wrapText="1"/>
    </xf>
    <xf numFmtId="0" fontId="92" fillId="33" borderId="11" xfId="0" applyFont="1" applyFill="1" applyBorder="1" applyAlignment="1">
      <alignment/>
    </xf>
    <xf numFmtId="0" fontId="92" fillId="33" borderId="12" xfId="0" applyFont="1" applyFill="1" applyBorder="1" applyAlignment="1">
      <alignment/>
    </xf>
    <xf numFmtId="0" fontId="92" fillId="33" borderId="12" xfId="0" applyFont="1" applyFill="1" applyBorder="1" applyAlignment="1">
      <alignment horizontal="justify" vertical="justify" wrapText="1"/>
    </xf>
    <xf numFmtId="4" fontId="6" fillId="33" borderId="13" xfId="71" applyNumberFormat="1" applyFont="1" applyFill="1" applyBorder="1" applyAlignment="1">
      <alignment horizontal="right"/>
      <protection/>
    </xf>
    <xf numFmtId="0" fontId="92" fillId="33" borderId="16" xfId="0" applyFont="1" applyFill="1" applyBorder="1" applyAlignment="1">
      <alignment/>
    </xf>
    <xf numFmtId="0" fontId="92" fillId="33" borderId="17" xfId="0" applyFont="1" applyFill="1" applyBorder="1" applyAlignment="1">
      <alignment/>
    </xf>
    <xf numFmtId="0" fontId="92" fillId="33" borderId="17" xfId="0" applyFont="1" applyFill="1" applyBorder="1" applyAlignment="1">
      <alignment horizontal="justify" vertical="justify" wrapText="1"/>
    </xf>
    <xf numFmtId="4" fontId="6" fillId="33" borderId="20" xfId="71" applyNumberFormat="1" applyFont="1" applyFill="1" applyBorder="1" applyAlignment="1">
      <alignment horizontal="right"/>
      <protection/>
    </xf>
    <xf numFmtId="0" fontId="6" fillId="34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8" fillId="0" borderId="12" xfId="74" applyNumberFormat="1" applyFont="1" applyBorder="1" applyAlignment="1">
      <alignment horizontal="center" vertical="center" wrapText="1" readingOrder="1"/>
      <protection/>
    </xf>
    <xf numFmtId="0" fontId="4" fillId="0" borderId="13" xfId="85" applyFont="1" applyBorder="1">
      <alignment/>
      <protection/>
    </xf>
    <xf numFmtId="0" fontId="4" fillId="0" borderId="0" xfId="85" applyFont="1">
      <alignment/>
      <protection/>
    </xf>
    <xf numFmtId="0" fontId="9" fillId="0" borderId="0" xfId="85">
      <alignment/>
      <protection/>
    </xf>
    <xf numFmtId="44" fontId="8" fillId="0" borderId="0" xfId="74" applyNumberFormat="1" applyFont="1" applyBorder="1" applyAlignment="1">
      <alignment horizontal="center" vertical="center" wrapText="1" readingOrder="1"/>
      <protection/>
    </xf>
    <xf numFmtId="0" fontId="4" fillId="0" borderId="15" xfId="85" applyFont="1" applyBorder="1">
      <alignment/>
      <protection/>
    </xf>
    <xf numFmtId="4" fontId="93" fillId="0" borderId="0" xfId="74" applyNumberFormat="1" applyFont="1" applyFill="1" applyBorder="1" applyAlignment="1">
      <alignment horizontal="center" vertical="center" wrapText="1" readingOrder="1"/>
      <protection/>
    </xf>
    <xf numFmtId="0" fontId="4" fillId="0" borderId="0" xfId="89" applyFont="1" applyFill="1" applyBorder="1" applyAlignment="1">
      <alignment horizontal="center"/>
      <protection/>
    </xf>
    <xf numFmtId="4" fontId="93" fillId="0" borderId="0" xfId="74" applyNumberFormat="1" applyFont="1" applyFill="1" applyBorder="1" applyAlignment="1">
      <alignment horizontal="center" vertical="center" wrapText="1"/>
      <protection/>
    </xf>
    <xf numFmtId="4" fontId="93" fillId="0" borderId="0" xfId="89" applyNumberFormat="1" applyFont="1" applyFill="1" applyBorder="1" applyAlignment="1">
      <alignment horizontal="center" vertical="center" wrapText="1"/>
      <protection/>
    </xf>
    <xf numFmtId="4" fontId="93" fillId="0" borderId="17" xfId="89" applyNumberFormat="1" applyFont="1" applyFill="1" applyBorder="1" applyAlignment="1">
      <alignment horizontal="center" vertical="center" wrapText="1"/>
      <protection/>
    </xf>
    <xf numFmtId="0" fontId="4" fillId="0" borderId="20" xfId="85" applyFont="1" applyBorder="1">
      <alignment/>
      <protection/>
    </xf>
    <xf numFmtId="0" fontId="12" fillId="0" borderId="19" xfId="85" applyFont="1" applyBorder="1" applyAlignment="1">
      <alignment horizontal="center"/>
      <protection/>
    </xf>
    <xf numFmtId="0" fontId="9" fillId="0" borderId="0" xfId="85" applyBorder="1">
      <alignment/>
      <protection/>
    </xf>
    <xf numFmtId="0" fontId="12" fillId="0" borderId="18" xfId="85" applyFont="1" applyBorder="1" applyAlignment="1">
      <alignment horizontal="center"/>
      <protection/>
    </xf>
    <xf numFmtId="0" fontId="12" fillId="0" borderId="13" xfId="85" applyFont="1" applyBorder="1" applyAlignment="1">
      <alignment horizontal="center"/>
      <protection/>
    </xf>
    <xf numFmtId="0" fontId="10" fillId="0" borderId="0" xfId="85" applyFont="1">
      <alignment/>
      <protection/>
    </xf>
    <xf numFmtId="0" fontId="11" fillId="0" borderId="19" xfId="88" applyFont="1" applyFill="1" applyBorder="1" applyAlignment="1">
      <alignment vertical="top"/>
      <protection/>
    </xf>
    <xf numFmtId="0" fontId="10" fillId="0" borderId="19" xfId="88" applyFont="1" applyFill="1" applyBorder="1" applyAlignment="1">
      <alignment horizontal="left" vertical="top"/>
      <protection/>
    </xf>
    <xf numFmtId="10" fontId="10" fillId="0" borderId="19" xfId="98" applyNumberFormat="1" applyFont="1" applyFill="1" applyBorder="1" applyAlignment="1">
      <alignment/>
    </xf>
    <xf numFmtId="4" fontId="10" fillId="0" borderId="19" xfId="85" applyNumberFormat="1" applyFont="1" applyFill="1" applyBorder="1" applyAlignment="1">
      <alignment/>
      <protection/>
    </xf>
    <xf numFmtId="10" fontId="10" fillId="0" borderId="19" xfId="85" applyNumberFormat="1" applyFont="1" applyFill="1" applyBorder="1" applyAlignment="1">
      <alignment/>
      <protection/>
    </xf>
    <xf numFmtId="10" fontId="10" fillId="34" borderId="19" xfId="85" applyNumberFormat="1" applyFont="1" applyFill="1" applyBorder="1" applyAlignment="1">
      <alignment/>
      <protection/>
    </xf>
    <xf numFmtId="4" fontId="10" fillId="34" borderId="19" xfId="85" applyNumberFormat="1" applyFont="1" applyFill="1" applyBorder="1" applyAlignment="1">
      <alignment/>
      <protection/>
    </xf>
    <xf numFmtId="4" fontId="11" fillId="0" borderId="19" xfId="71" applyNumberFormat="1" applyFont="1" applyFill="1" applyBorder="1" applyAlignment="1">
      <alignment horizontal="right"/>
      <protection/>
    </xf>
    <xf numFmtId="39" fontId="10" fillId="0" borderId="0" xfId="85" applyNumberFormat="1" applyFont="1">
      <alignment/>
      <protection/>
    </xf>
    <xf numFmtId="0" fontId="10" fillId="0" borderId="19" xfId="88" applyFont="1" applyFill="1" applyBorder="1" applyAlignment="1">
      <alignment horizontal="justify" vertical="justify" wrapText="1"/>
      <protection/>
    </xf>
    <xf numFmtId="10" fontId="10" fillId="34" borderId="19" xfId="98" applyNumberFormat="1" applyFont="1" applyFill="1" applyBorder="1" applyAlignment="1">
      <alignment/>
    </xf>
    <xf numFmtId="4" fontId="11" fillId="0" borderId="19" xfId="71" applyNumberFormat="1" applyFont="1" applyBorder="1">
      <alignment/>
      <protection/>
    </xf>
    <xf numFmtId="4" fontId="10" fillId="35" borderId="18" xfId="71" applyNumberFormat="1" applyFont="1" applyFill="1" applyBorder="1">
      <alignment/>
      <protection/>
    </xf>
    <xf numFmtId="0" fontId="10" fillId="35" borderId="21" xfId="71" applyFont="1" applyFill="1" applyBorder="1">
      <alignment/>
      <protection/>
    </xf>
    <xf numFmtId="166" fontId="11" fillId="35" borderId="21" xfId="98" applyNumberFormat="1" applyFont="1" applyFill="1" applyBorder="1" applyAlignment="1">
      <alignment horizontal="center"/>
    </xf>
    <xf numFmtId="0" fontId="10" fillId="35" borderId="22" xfId="85" applyFont="1" applyFill="1" applyBorder="1">
      <alignment/>
      <protection/>
    </xf>
    <xf numFmtId="0" fontId="15" fillId="0" borderId="0" xfId="85" applyFont="1">
      <alignment/>
      <protection/>
    </xf>
    <xf numFmtId="0" fontId="10" fillId="0" borderId="0" xfId="85" applyFont="1" applyBorder="1">
      <alignment/>
      <protection/>
    </xf>
    <xf numFmtId="4" fontId="10" fillId="0" borderId="0" xfId="85" applyNumberFormat="1" applyFont="1">
      <alignment/>
      <protection/>
    </xf>
    <xf numFmtId="0" fontId="92" fillId="33" borderId="0" xfId="0" applyFont="1" applyFill="1" applyBorder="1" applyAlignment="1">
      <alignment/>
    </xf>
    <xf numFmtId="0" fontId="92" fillId="33" borderId="0" xfId="0" applyFont="1" applyFill="1" applyBorder="1" applyAlignment="1">
      <alignment horizontal="justify" vertical="justify" wrapText="1"/>
    </xf>
    <xf numFmtId="0" fontId="92" fillId="33" borderId="14" xfId="0" applyFont="1" applyFill="1" applyBorder="1" applyAlignment="1">
      <alignment/>
    </xf>
    <xf numFmtId="4" fontId="6" fillId="33" borderId="15" xfId="71" applyNumberFormat="1" applyFont="1" applyFill="1" applyBorder="1" applyAlignment="1">
      <alignment horizontal="right"/>
      <protection/>
    </xf>
    <xf numFmtId="0" fontId="92" fillId="34" borderId="21" xfId="0" applyFont="1" applyFill="1" applyBorder="1" applyAlignment="1">
      <alignment/>
    </xf>
    <xf numFmtId="0" fontId="92" fillId="34" borderId="21" xfId="0" applyFont="1" applyFill="1" applyBorder="1" applyAlignment="1">
      <alignment horizontal="justify" vertical="justify" wrapText="1"/>
    </xf>
    <xf numFmtId="0" fontId="92" fillId="33" borderId="12" xfId="0" applyFont="1" applyFill="1" applyBorder="1" applyAlignment="1">
      <alignment horizontal="center" vertical="justify" wrapText="1"/>
    </xf>
    <xf numFmtId="0" fontId="92" fillId="33" borderId="0" xfId="0" applyFont="1" applyFill="1" applyBorder="1" applyAlignment="1">
      <alignment horizontal="center" vertical="justify" wrapText="1"/>
    </xf>
    <xf numFmtId="0" fontId="9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4" fontId="92" fillId="33" borderId="12" xfId="0" applyNumberFormat="1" applyFont="1" applyFill="1" applyBorder="1" applyAlignment="1">
      <alignment/>
    </xf>
    <xf numFmtId="4" fontId="7" fillId="33" borderId="15" xfId="71" applyNumberFormat="1" applyFont="1" applyFill="1" applyBorder="1" applyAlignment="1">
      <alignment horizontal="right"/>
      <protection/>
    </xf>
    <xf numFmtId="4" fontId="92" fillId="34" borderId="21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91" fillId="33" borderId="0" xfId="0" applyFont="1" applyFill="1" applyBorder="1" applyAlignment="1">
      <alignment horizontal="justify" vertical="justify" wrapText="1"/>
    </xf>
    <xf numFmtId="4" fontId="92" fillId="34" borderId="18" xfId="0" applyNumberFormat="1" applyFont="1" applyFill="1" applyBorder="1" applyAlignment="1">
      <alignment/>
    </xf>
    <xf numFmtId="4" fontId="92" fillId="34" borderId="19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91" fillId="34" borderId="22" xfId="0" applyFont="1" applyFill="1" applyBorder="1" applyAlignment="1">
      <alignment/>
    </xf>
    <xf numFmtId="0" fontId="91" fillId="34" borderId="22" xfId="0" applyFont="1" applyFill="1" applyBorder="1" applyAlignment="1">
      <alignment horizontal="justify" vertical="justify" wrapText="1"/>
    </xf>
    <xf numFmtId="0" fontId="91" fillId="34" borderId="18" xfId="0" applyFont="1" applyFill="1" applyBorder="1" applyAlignment="1">
      <alignment/>
    </xf>
    <xf numFmtId="0" fontId="91" fillId="34" borderId="18" xfId="0" applyFont="1" applyFill="1" applyBorder="1" applyAlignment="1">
      <alignment horizontal="justify" vertical="justify" wrapText="1"/>
    </xf>
    <xf numFmtId="4" fontId="7" fillId="34" borderId="18" xfId="71" applyNumberFormat="1" applyFont="1" applyFill="1" applyBorder="1" applyAlignment="1">
      <alignment horizontal="right"/>
      <protection/>
    </xf>
    <xf numFmtId="0" fontId="91" fillId="34" borderId="19" xfId="0" applyFont="1" applyFill="1" applyBorder="1" applyAlignment="1">
      <alignment/>
    </xf>
    <xf numFmtId="0" fontId="91" fillId="34" borderId="19" xfId="0" applyFont="1" applyFill="1" applyBorder="1" applyAlignment="1">
      <alignment horizontal="justify" vertical="justify" wrapText="1"/>
    </xf>
    <xf numFmtId="0" fontId="91" fillId="33" borderId="14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justify" vertical="justify" wrapText="1"/>
    </xf>
    <xf numFmtId="0" fontId="47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justify" vertical="justify" wrapText="1"/>
    </xf>
    <xf numFmtId="4" fontId="6" fillId="33" borderId="12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justify" vertical="justify" wrapText="1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justify" vertical="justify" wrapText="1"/>
    </xf>
    <xf numFmtId="4" fontId="6" fillId="33" borderId="0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9" xfId="0" applyFont="1" applyFill="1" applyBorder="1" applyAlignment="1">
      <alignment horizontal="justify" vertical="justify" wrapText="1"/>
    </xf>
    <xf numFmtId="4" fontId="6" fillId="34" borderId="19" xfId="0" applyNumberFormat="1" applyFont="1" applyFill="1" applyBorder="1" applyAlignment="1">
      <alignment/>
    </xf>
    <xf numFmtId="4" fontId="7" fillId="34" borderId="19" xfId="71" applyNumberFormat="1" applyFont="1" applyFill="1" applyBorder="1" applyAlignment="1">
      <alignment horizontal="right"/>
      <protection/>
    </xf>
    <xf numFmtId="0" fontId="6" fillId="34" borderId="21" xfId="0" applyFont="1" applyFill="1" applyBorder="1" applyAlignment="1">
      <alignment/>
    </xf>
    <xf numFmtId="0" fontId="6" fillId="34" borderId="21" xfId="0" applyFont="1" applyFill="1" applyBorder="1" applyAlignment="1">
      <alignment horizontal="justify" vertical="justify" wrapText="1"/>
    </xf>
    <xf numFmtId="0" fontId="91" fillId="34" borderId="22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92" fillId="34" borderId="22" xfId="0" applyFont="1" applyFill="1" applyBorder="1" applyAlignment="1">
      <alignment/>
    </xf>
    <xf numFmtId="0" fontId="92" fillId="34" borderId="22" xfId="0" applyFont="1" applyFill="1" applyBorder="1" applyAlignment="1">
      <alignment horizontal="justify" vertical="justify" wrapText="1"/>
    </xf>
    <xf numFmtId="4" fontId="6" fillId="34" borderId="22" xfId="71" applyNumberFormat="1" applyFont="1" applyFill="1" applyBorder="1" applyAlignment="1">
      <alignment horizontal="right"/>
      <protection/>
    </xf>
    <xf numFmtId="4" fontId="92" fillId="33" borderId="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94" fillId="36" borderId="0" xfId="0" applyFont="1" applyFill="1" applyAlignment="1">
      <alignment/>
    </xf>
    <xf numFmtId="4" fontId="6" fillId="34" borderId="21" xfId="0" applyNumberFormat="1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justify" vertical="justify" wrapText="1"/>
    </xf>
    <xf numFmtId="4" fontId="7" fillId="33" borderId="0" xfId="0" applyNumberFormat="1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19" xfId="0" applyFont="1" applyFill="1" applyBorder="1" applyAlignment="1">
      <alignment horizontal="justify" vertical="justify" wrapText="1"/>
    </xf>
    <xf numFmtId="0" fontId="83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4" fontId="7" fillId="33" borderId="19" xfId="71" applyNumberFormat="1" applyFont="1" applyFill="1" applyBorder="1" applyAlignment="1">
      <alignment horizontal="right"/>
      <protection/>
    </xf>
    <xf numFmtId="0" fontId="7" fillId="33" borderId="19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 vertical="justify" wrapText="1"/>
    </xf>
    <xf numFmtId="0" fontId="49" fillId="33" borderId="0" xfId="0" applyFont="1" applyFill="1" applyAlignment="1">
      <alignment horizontal="right"/>
    </xf>
    <xf numFmtId="0" fontId="6" fillId="0" borderId="12" xfId="90" applyFont="1" applyFill="1" applyBorder="1" applyAlignment="1">
      <alignment horizontal="center" wrapText="1"/>
      <protection/>
    </xf>
    <xf numFmtId="0" fontId="6" fillId="0" borderId="0" xfId="90" applyFont="1" applyFill="1" applyBorder="1" applyAlignment="1">
      <alignment horizontal="center" wrapText="1"/>
      <protection/>
    </xf>
    <xf numFmtId="4" fontId="92" fillId="33" borderId="17" xfId="0" applyNumberFormat="1" applyFont="1" applyFill="1" applyBorder="1" applyAlignment="1">
      <alignment/>
    </xf>
    <xf numFmtId="0" fontId="47" fillId="36" borderId="0" xfId="0" applyFont="1" applyFill="1" applyAlignment="1">
      <alignment/>
    </xf>
    <xf numFmtId="0" fontId="83" fillId="36" borderId="0" xfId="0" applyFont="1" applyFill="1" applyAlignment="1">
      <alignment/>
    </xf>
    <xf numFmtId="4" fontId="6" fillId="33" borderId="0" xfId="71" applyNumberFormat="1" applyFont="1" applyFill="1" applyBorder="1" applyAlignment="1">
      <alignment horizontal="right"/>
      <protection/>
    </xf>
    <xf numFmtId="0" fontId="6" fillId="34" borderId="1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3" fontId="6" fillId="33" borderId="12" xfId="64" applyNumberFormat="1" applyFont="1" applyFill="1" applyBorder="1" applyAlignment="1">
      <alignment horizontal="center" vertical="center" wrapText="1"/>
    </xf>
    <xf numFmtId="4" fontId="7" fillId="33" borderId="12" xfId="90" applyNumberFormat="1" applyFont="1" applyFill="1" applyBorder="1" applyAlignment="1">
      <alignment horizontal="center"/>
      <protection/>
    </xf>
    <xf numFmtId="44" fontId="6" fillId="33" borderId="13" xfId="64" applyFont="1" applyFill="1" applyBorder="1" applyAlignment="1">
      <alignment horizontal="right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3" fontId="6" fillId="33" borderId="0" xfId="64" applyNumberFormat="1" applyFont="1" applyFill="1" applyBorder="1" applyAlignment="1">
      <alignment horizontal="center" vertical="center" wrapText="1"/>
    </xf>
    <xf numFmtId="4" fontId="7" fillId="33" borderId="0" xfId="90" applyNumberFormat="1" applyFont="1" applyFill="1" applyBorder="1" applyAlignment="1">
      <alignment horizontal="center"/>
      <protection/>
    </xf>
    <xf numFmtId="44" fontId="6" fillId="33" borderId="15" xfId="64" applyFont="1" applyFill="1" applyBorder="1" applyAlignment="1">
      <alignment horizontal="right"/>
    </xf>
    <xf numFmtId="49" fontId="6" fillId="34" borderId="19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justify" wrapText="1"/>
    </xf>
    <xf numFmtId="173" fontId="6" fillId="34" borderId="19" xfId="64" applyNumberFormat="1" applyFont="1" applyFill="1" applyBorder="1" applyAlignment="1">
      <alignment horizontal="center" vertical="center" wrapText="1"/>
    </xf>
    <xf numFmtId="44" fontId="6" fillId="34" borderId="19" xfId="64" applyFont="1" applyFill="1" applyBorder="1" applyAlignment="1">
      <alignment horizontal="right"/>
    </xf>
    <xf numFmtId="0" fontId="92" fillId="0" borderId="12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4" fontId="6" fillId="33" borderId="0" xfId="90" applyNumberFormat="1" applyFont="1" applyFill="1" applyBorder="1" applyAlignment="1">
      <alignment horizontal="center"/>
      <protection/>
    </xf>
    <xf numFmtId="4" fontId="6" fillId="33" borderId="12" xfId="90" applyNumberFormat="1" applyFont="1" applyFill="1" applyBorder="1" applyAlignment="1">
      <alignment horizontal="center"/>
      <protection/>
    </xf>
    <xf numFmtId="173" fontId="6" fillId="0" borderId="0" xfId="64" applyNumberFormat="1" applyFont="1" applyFill="1" applyBorder="1" applyAlignment="1">
      <alignment horizontal="center" vertical="center" wrapText="1"/>
    </xf>
    <xf numFmtId="0" fontId="92" fillId="34" borderId="19" xfId="0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/>
    </xf>
    <xf numFmtId="0" fontId="92" fillId="34" borderId="18" xfId="0" applyFont="1" applyFill="1" applyBorder="1" applyAlignment="1">
      <alignment horizontal="center"/>
    </xf>
    <xf numFmtId="4" fontId="92" fillId="34" borderId="22" xfId="0" applyNumberFormat="1" applyFont="1" applyFill="1" applyBorder="1" applyAlignment="1">
      <alignment/>
    </xf>
    <xf numFmtId="0" fontId="92" fillId="33" borderId="14" xfId="0" applyFont="1" applyFill="1" applyBorder="1" applyAlignment="1">
      <alignment horizontal="center"/>
    </xf>
    <xf numFmtId="175" fontId="92" fillId="33" borderId="12" xfId="0" applyNumberFormat="1" applyFont="1" applyFill="1" applyBorder="1" applyAlignment="1">
      <alignment/>
    </xf>
    <xf numFmtId="175" fontId="92" fillId="33" borderId="0" xfId="0" applyNumberFormat="1" applyFont="1" applyFill="1" applyBorder="1" applyAlignment="1">
      <alignment/>
    </xf>
    <xf numFmtId="0" fontId="6" fillId="34" borderId="22" xfId="90" applyFont="1" applyFill="1" applyBorder="1" applyAlignment="1">
      <alignment horizontal="center" vertical="center"/>
      <protection/>
    </xf>
    <xf numFmtId="0" fontId="6" fillId="34" borderId="22" xfId="0" applyFont="1" applyFill="1" applyBorder="1" applyAlignment="1">
      <alignment horizontal="center"/>
    </xf>
    <xf numFmtId="0" fontId="6" fillId="34" borderId="22" xfId="90" applyFont="1" applyFill="1" applyBorder="1" applyAlignment="1">
      <alignment horizontal="justify" vertical="top" wrapText="1"/>
      <protection/>
    </xf>
    <xf numFmtId="4" fontId="6" fillId="34" borderId="22" xfId="90" applyNumberFormat="1" applyFont="1" applyFill="1" applyBorder="1" applyAlignment="1">
      <alignment horizontal="right"/>
      <protection/>
    </xf>
    <xf numFmtId="4" fontId="7" fillId="0" borderId="13" xfId="71" applyNumberFormat="1" applyFont="1" applyFill="1" applyBorder="1" applyAlignment="1">
      <alignment horizontal="right"/>
      <protection/>
    </xf>
    <xf numFmtId="0" fontId="6" fillId="34" borderId="21" xfId="0" applyFont="1" applyFill="1" applyBorder="1" applyAlignment="1">
      <alignment horizontal="center" vertical="center" wrapText="1"/>
    </xf>
    <xf numFmtId="0" fontId="7" fillId="0" borderId="16" xfId="90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7" xfId="90" applyFont="1" applyFill="1" applyBorder="1" applyAlignment="1">
      <alignment horizontal="justify" vertical="center" wrapText="1"/>
      <protection/>
    </xf>
    <xf numFmtId="4" fontId="7" fillId="0" borderId="17" xfId="90" applyNumberFormat="1" applyFont="1" applyFill="1" applyBorder="1" applyAlignment="1">
      <alignment horizontal="center" vertical="center"/>
      <protection/>
    </xf>
    <xf numFmtId="4" fontId="7" fillId="0" borderId="17" xfId="90" applyNumberFormat="1" applyFont="1" applyFill="1" applyBorder="1" applyAlignment="1">
      <alignment horizontal="right" vertical="center"/>
      <protection/>
    </xf>
    <xf numFmtId="4" fontId="7" fillId="0" borderId="20" xfId="71" applyNumberFormat="1" applyFont="1" applyFill="1" applyBorder="1" applyAlignment="1">
      <alignment horizontal="right" vertical="center"/>
      <protection/>
    </xf>
    <xf numFmtId="0" fontId="89" fillId="0" borderId="0" xfId="0" applyFont="1" applyAlignment="1">
      <alignment vertical="center"/>
    </xf>
    <xf numFmtId="2" fontId="92" fillId="34" borderId="19" xfId="0" applyNumberFormat="1" applyFont="1" applyFill="1" applyBorder="1" applyAlignment="1">
      <alignment/>
    </xf>
    <xf numFmtId="4" fontId="6" fillId="33" borderId="0" xfId="74" applyNumberFormat="1" applyFont="1" applyFill="1" applyBorder="1" applyAlignment="1">
      <alignment vertical="center" wrapText="1" readingOrder="1"/>
      <protection/>
    </xf>
    <xf numFmtId="4" fontId="6" fillId="34" borderId="18" xfId="0" applyNumberFormat="1" applyFont="1" applyFill="1" applyBorder="1" applyAlignment="1">
      <alignment/>
    </xf>
    <xf numFmtId="4" fontId="7" fillId="33" borderId="0" xfId="89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11" xfId="90" applyFont="1" applyFill="1" applyBorder="1" applyAlignment="1">
      <alignment horizont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justify" wrapText="1"/>
    </xf>
    <xf numFmtId="2" fontId="6" fillId="0" borderId="12" xfId="0" applyNumberFormat="1" applyFont="1" applyFill="1" applyBorder="1" applyAlignment="1">
      <alignment horizontal="center" vertical="center" wrapText="1"/>
    </xf>
    <xf numFmtId="4" fontId="6" fillId="0" borderId="12" xfId="90" applyNumberFormat="1" applyFont="1" applyFill="1" applyBorder="1" applyAlignment="1">
      <alignment horizontal="center" vertical="center"/>
      <protection/>
    </xf>
    <xf numFmtId="4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7" fillId="0" borderId="14" xfId="90" applyFont="1" applyFill="1" applyBorder="1" applyAlignment="1">
      <alignment horizont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justify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7" fillId="0" borderId="0" xfId="90" applyNumberFormat="1" applyFont="1" applyFill="1" applyBorder="1" applyAlignment="1">
      <alignment horizontal="center" vertical="center"/>
      <protection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4" xfId="90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90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34" borderId="19" xfId="90" applyFont="1" applyFill="1" applyBorder="1" applyAlignment="1">
      <alignment horizontal="center" wrapText="1"/>
      <protection/>
    </xf>
    <xf numFmtId="175" fontId="91" fillId="33" borderId="0" xfId="0" applyNumberFormat="1" applyFont="1" applyFill="1" applyBorder="1" applyAlignment="1">
      <alignment/>
    </xf>
    <xf numFmtId="2" fontId="6" fillId="34" borderId="18" xfId="0" applyNumberFormat="1" applyFont="1" applyFill="1" applyBorder="1" applyAlignment="1">
      <alignment/>
    </xf>
    <xf numFmtId="0" fontId="89" fillId="36" borderId="0" xfId="0" applyFont="1" applyFill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justify" vertical="justify" wrapText="1"/>
    </xf>
    <xf numFmtId="0" fontId="0" fillId="0" borderId="19" xfId="0" applyBorder="1" applyAlignment="1">
      <alignment horizontal="center" vertical="center"/>
    </xf>
    <xf numFmtId="17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0" fontId="95" fillId="33" borderId="14" xfId="0" applyFont="1" applyFill="1" applyBorder="1" applyAlignment="1">
      <alignment/>
    </xf>
    <xf numFmtId="0" fontId="95" fillId="33" borderId="0" xfId="0" applyFont="1" applyFill="1" applyBorder="1" applyAlignment="1">
      <alignment/>
    </xf>
    <xf numFmtId="0" fontId="95" fillId="33" borderId="0" xfId="0" applyFont="1" applyFill="1" applyBorder="1" applyAlignment="1">
      <alignment horizontal="justify" vertical="justify" wrapText="1"/>
    </xf>
    <xf numFmtId="4" fontId="95" fillId="33" borderId="0" xfId="0" applyNumberFormat="1" applyFont="1" applyFill="1" applyBorder="1" applyAlignment="1">
      <alignment/>
    </xf>
    <xf numFmtId="4" fontId="12" fillId="33" borderId="15" xfId="71" applyNumberFormat="1" applyFont="1" applyFill="1" applyBorder="1" applyAlignment="1">
      <alignment horizontal="right"/>
      <protection/>
    </xf>
    <xf numFmtId="0" fontId="96" fillId="0" borderId="0" xfId="0" applyFont="1" applyAlignment="1">
      <alignment/>
    </xf>
    <xf numFmtId="0" fontId="52" fillId="0" borderId="0" xfId="0" applyFont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justify" vertical="justify" wrapText="1"/>
    </xf>
    <xf numFmtId="4" fontId="6" fillId="33" borderId="19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2" fontId="6" fillId="34" borderId="21" xfId="0" applyNumberFormat="1" applyFont="1" applyFill="1" applyBorder="1" applyAlignment="1">
      <alignment/>
    </xf>
    <xf numFmtId="0" fontId="7" fillId="0" borderId="14" xfId="9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90" applyFont="1" applyFill="1" applyBorder="1" applyAlignment="1">
      <alignment horizontal="justify" vertical="top" wrapText="1"/>
      <protection/>
    </xf>
    <xf numFmtId="4" fontId="7" fillId="0" borderId="0" xfId="90" applyNumberFormat="1" applyFont="1" applyFill="1" applyBorder="1" applyAlignment="1">
      <alignment horizontal="center"/>
      <protection/>
    </xf>
    <xf numFmtId="4" fontId="7" fillId="0" borderId="0" xfId="90" applyNumberFormat="1" applyFont="1" applyFill="1" applyBorder="1" applyAlignment="1">
      <alignment horizontal="right"/>
      <protection/>
    </xf>
    <xf numFmtId="4" fontId="7" fillId="0" borderId="15" xfId="71" applyNumberFormat="1" applyFont="1" applyFill="1" applyBorder="1" applyAlignment="1">
      <alignment horizontal="right"/>
      <protection/>
    </xf>
    <xf numFmtId="0" fontId="97" fillId="36" borderId="0" xfId="0" applyFont="1" applyFill="1" applyAlignment="1">
      <alignment/>
    </xf>
    <xf numFmtId="2" fontId="6" fillId="34" borderId="19" xfId="0" applyNumberFormat="1" applyFont="1" applyFill="1" applyBorder="1" applyAlignment="1">
      <alignment/>
    </xf>
    <xf numFmtId="2" fontId="92" fillId="34" borderId="18" xfId="0" applyNumberFormat="1" applyFont="1" applyFill="1" applyBorder="1" applyAlignment="1">
      <alignment/>
    </xf>
    <xf numFmtId="4" fontId="6" fillId="34" borderId="22" xfId="90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0" fontId="98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justify" wrapText="1"/>
    </xf>
    <xf numFmtId="0" fontId="49" fillId="0" borderId="0" xfId="0" applyFont="1" applyAlignment="1">
      <alignment/>
    </xf>
    <xf numFmtId="188" fontId="0" fillId="0" borderId="19" xfId="0" applyNumberFormat="1" applyBorder="1" applyAlignment="1">
      <alignment horizontal="center" vertical="center"/>
    </xf>
    <xf numFmtId="8" fontId="12" fillId="33" borderId="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55" fillId="0" borderId="19" xfId="0" applyFont="1" applyBorder="1" applyAlignment="1">
      <alignment horizontal="center" vertical="center"/>
    </xf>
    <xf numFmtId="0" fontId="47" fillId="34" borderId="0" xfId="0" applyFont="1" applyFill="1" applyAlignment="1">
      <alignment/>
    </xf>
    <xf numFmtId="0" fontId="99" fillId="36" borderId="0" xfId="0" applyFont="1" applyFill="1" applyAlignment="1">
      <alignment/>
    </xf>
    <xf numFmtId="0" fontId="99" fillId="0" borderId="0" xfId="0" applyFont="1" applyAlignment="1">
      <alignment/>
    </xf>
    <xf numFmtId="0" fontId="83" fillId="34" borderId="0" xfId="0" applyFont="1" applyFill="1" applyAlignment="1">
      <alignment/>
    </xf>
    <xf numFmtId="4" fontId="6" fillId="34" borderId="14" xfId="71" applyNumberFormat="1" applyFont="1" applyFill="1" applyBorder="1" applyAlignment="1">
      <alignment horizontal="right"/>
      <protection/>
    </xf>
    <xf numFmtId="0" fontId="6" fillId="34" borderId="14" xfId="0" applyFont="1" applyFill="1" applyBorder="1" applyAlignment="1">
      <alignment/>
    </xf>
    <xf numFmtId="0" fontId="100" fillId="33" borderId="0" xfId="0" applyFont="1" applyFill="1" applyAlignment="1">
      <alignment horizontal="right"/>
    </xf>
    <xf numFmtId="0" fontId="101" fillId="0" borderId="0" xfId="0" applyFont="1" applyAlignment="1">
      <alignment/>
    </xf>
    <xf numFmtId="0" fontId="7" fillId="0" borderId="17" xfId="90" applyFont="1" applyFill="1" applyBorder="1" applyAlignment="1">
      <alignment horizontal="right" vertical="center" wrapText="1"/>
      <protection/>
    </xf>
    <xf numFmtId="0" fontId="7" fillId="34" borderId="19" xfId="90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/>
    </xf>
    <xf numFmtId="0" fontId="7" fillId="34" borderId="19" xfId="90" applyFont="1" applyFill="1" applyBorder="1" applyAlignment="1">
      <alignment horizontal="justify" vertical="top" wrapText="1"/>
      <protection/>
    </xf>
    <xf numFmtId="4" fontId="7" fillId="34" borderId="19" xfId="90" applyNumberFormat="1" applyFont="1" applyFill="1" applyBorder="1" applyAlignment="1">
      <alignment horizontal="center"/>
      <protection/>
    </xf>
    <xf numFmtId="4" fontId="7" fillId="34" borderId="19" xfId="90" applyNumberFormat="1" applyFont="1" applyFill="1" applyBorder="1" applyAlignment="1">
      <alignment horizontal="right"/>
      <protection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justify" vertical="justify" wrapText="1"/>
    </xf>
    <xf numFmtId="4" fontId="7" fillId="0" borderId="19" xfId="0" applyNumberFormat="1" applyFont="1" applyBorder="1" applyAlignment="1">
      <alignment/>
    </xf>
    <xf numFmtId="0" fontId="6" fillId="0" borderId="0" xfId="0" applyFont="1" applyAlignment="1">
      <alignment horizontal="justify" vertical="justify" wrapText="1"/>
    </xf>
    <xf numFmtId="2" fontId="6" fillId="33" borderId="12" xfId="0" applyNumberFormat="1" applyFont="1" applyFill="1" applyBorder="1" applyAlignment="1">
      <alignment/>
    </xf>
    <xf numFmtId="8" fontId="0" fillId="0" borderId="0" xfId="0" applyNumberFormat="1" applyAlignment="1">
      <alignment/>
    </xf>
    <xf numFmtId="49" fontId="91" fillId="33" borderId="12" xfId="74" applyNumberFormat="1" applyFont="1" applyFill="1" applyBorder="1" applyAlignment="1">
      <alignment horizontal="center"/>
      <protection/>
    </xf>
    <xf numFmtId="49" fontId="91" fillId="33" borderId="0" xfId="74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92" fillId="0" borderId="19" xfId="0" applyFont="1" applyFill="1" applyBorder="1" applyAlignment="1">
      <alignment/>
    </xf>
    <xf numFmtId="0" fontId="92" fillId="0" borderId="19" xfId="0" applyFont="1" applyFill="1" applyBorder="1" applyAlignment="1">
      <alignment horizontal="center"/>
    </xf>
    <xf numFmtId="0" fontId="92" fillId="0" borderId="19" xfId="0" applyFont="1" applyFill="1" applyBorder="1" applyAlignment="1">
      <alignment horizontal="justify" vertical="justify" wrapText="1"/>
    </xf>
    <xf numFmtId="2" fontId="92" fillId="0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justify" vertical="justify" wrapText="1"/>
    </xf>
    <xf numFmtId="2" fontId="6" fillId="0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 vertical="justify" wrapText="1"/>
    </xf>
    <xf numFmtId="0" fontId="6" fillId="0" borderId="19" xfId="90" applyFont="1" applyFill="1" applyBorder="1" applyAlignment="1">
      <alignment horizontal="center" vertical="center"/>
      <protection/>
    </xf>
    <xf numFmtId="0" fontId="6" fillId="0" borderId="19" xfId="90" applyFont="1" applyFill="1" applyBorder="1" applyAlignment="1">
      <alignment horizontal="center" wrapText="1"/>
      <protection/>
    </xf>
    <xf numFmtId="0" fontId="6" fillId="0" borderId="19" xfId="90" applyFont="1" applyFill="1" applyBorder="1" applyAlignment="1">
      <alignment horizontal="justify" vertical="top" wrapText="1"/>
      <protection/>
    </xf>
    <xf numFmtId="4" fontId="6" fillId="0" borderId="19" xfId="90" applyNumberFormat="1" applyFont="1" applyFill="1" applyBorder="1" applyAlignment="1">
      <alignment horizontal="center"/>
      <protection/>
    </xf>
    <xf numFmtId="4" fontId="92" fillId="0" borderId="19" xfId="0" applyNumberFormat="1" applyFont="1" applyFill="1" applyBorder="1" applyAlignment="1">
      <alignment/>
    </xf>
    <xf numFmtId="0" fontId="92" fillId="0" borderId="19" xfId="0" applyFont="1" applyFill="1" applyBorder="1" applyAlignment="1">
      <alignment horizontal="center" vertical="justify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173" fontId="6" fillId="0" borderId="19" xfId="64" applyNumberFormat="1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2" fontId="91" fillId="33" borderId="12" xfId="88" applyNumberFormat="1" applyFont="1" applyFill="1" applyBorder="1" applyAlignment="1">
      <alignment horizontal="left"/>
      <protection/>
    </xf>
    <xf numFmtId="2" fontId="91" fillId="33" borderId="0" xfId="74" applyNumberFormat="1" applyFont="1" applyFill="1" applyBorder="1" applyAlignment="1">
      <alignment horizontal="left"/>
      <protection/>
    </xf>
    <xf numFmtId="2" fontId="0" fillId="0" borderId="0" xfId="0" applyNumberFormat="1" applyAlignment="1">
      <alignment/>
    </xf>
    <xf numFmtId="3" fontId="6" fillId="0" borderId="19" xfId="0" applyNumberFormat="1" applyFont="1" applyFill="1" applyBorder="1" applyAlignment="1">
      <alignment horizontal="center"/>
    </xf>
    <xf numFmtId="4" fontId="91" fillId="33" borderId="13" xfId="0" applyNumberFormat="1" applyFont="1" applyFill="1" applyBorder="1" applyAlignment="1">
      <alignment horizontal="left"/>
    </xf>
    <xf numFmtId="4" fontId="91" fillId="33" borderId="15" xfId="88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4" fontId="92" fillId="33" borderId="15" xfId="89" applyNumberFormat="1" applyFont="1" applyFill="1" applyBorder="1" applyAlignment="1">
      <alignment vertical="center"/>
      <protection/>
    </xf>
    <xf numFmtId="0" fontId="6" fillId="33" borderId="15" xfId="0" applyFont="1" applyFill="1" applyBorder="1" applyAlignment="1">
      <alignment vertical="center" wrapText="1" readingOrder="1"/>
    </xf>
    <xf numFmtId="0" fontId="6" fillId="33" borderId="15" xfId="0" applyFont="1" applyFill="1" applyBorder="1" applyAlignment="1">
      <alignment vertical="center" wrapText="1"/>
    </xf>
    <xf numFmtId="4" fontId="92" fillId="33" borderId="15" xfId="74" applyNumberFormat="1" applyFont="1" applyFill="1" applyBorder="1" applyAlignment="1">
      <alignment vertical="center"/>
      <protection/>
    </xf>
    <xf numFmtId="0" fontId="6" fillId="33" borderId="20" xfId="89" applyFont="1" applyFill="1" applyBorder="1" applyAlignment="1">
      <alignment/>
      <protection/>
    </xf>
    <xf numFmtId="4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02" fillId="0" borderId="19" xfId="0" applyFont="1" applyFill="1" applyBorder="1" applyAlignment="1">
      <alignment horizontal="center"/>
    </xf>
    <xf numFmtId="0" fontId="102" fillId="0" borderId="19" xfId="0" applyFont="1" applyFill="1" applyBorder="1" applyAlignment="1">
      <alignment horizontal="justify" vertical="justify" wrapText="1"/>
    </xf>
    <xf numFmtId="0" fontId="102" fillId="0" borderId="19" xfId="0" applyFont="1" applyFill="1" applyBorder="1" applyAlignment="1">
      <alignment/>
    </xf>
    <xf numFmtId="2" fontId="102" fillId="0" borderId="19" xfId="0" applyNumberFormat="1" applyFont="1" applyFill="1" applyBorder="1" applyAlignment="1">
      <alignment/>
    </xf>
    <xf numFmtId="4" fontId="5" fillId="0" borderId="19" xfId="71" applyNumberFormat="1" applyFont="1" applyFill="1" applyBorder="1" applyAlignment="1">
      <alignment horizontal="right"/>
      <protection/>
    </xf>
    <xf numFmtId="0" fontId="103" fillId="0" borderId="0" xfId="0" applyFont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right" vertical="justify" wrapText="1"/>
    </xf>
    <xf numFmtId="0" fontId="5" fillId="0" borderId="19" xfId="0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60" fillId="33" borderId="0" xfId="0" applyFont="1" applyFill="1" applyAlignment="1">
      <alignment horizontal="right"/>
    </xf>
    <xf numFmtId="0" fontId="5" fillId="0" borderId="19" xfId="0" applyFont="1" applyFill="1" applyBorder="1" applyAlignment="1">
      <alignment horizontal="justify" vertical="justify" wrapText="1"/>
    </xf>
    <xf numFmtId="0" fontId="5" fillId="0" borderId="19" xfId="0" applyFont="1" applyFill="1" applyBorder="1" applyAlignment="1">
      <alignment/>
    </xf>
    <xf numFmtId="0" fontId="104" fillId="0" borderId="0" xfId="0" applyFont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05" fillId="0" borderId="0" xfId="0" applyFont="1" applyAlignment="1">
      <alignment/>
    </xf>
    <xf numFmtId="0" fontId="63" fillId="0" borderId="0" xfId="0" applyFont="1" applyAlignment="1">
      <alignment/>
    </xf>
    <xf numFmtId="0" fontId="106" fillId="0" borderId="0" xfId="0" applyFont="1" applyAlignment="1">
      <alignment/>
    </xf>
    <xf numFmtId="0" fontId="5" fillId="0" borderId="19" xfId="90" applyFont="1" applyFill="1" applyBorder="1" applyAlignment="1">
      <alignment horizontal="center" vertical="center"/>
      <protection/>
    </xf>
    <xf numFmtId="0" fontId="5" fillId="0" borderId="19" xfId="90" applyFont="1" applyFill="1" applyBorder="1" applyAlignment="1">
      <alignment horizontal="justify" vertical="top" wrapText="1"/>
      <protection/>
    </xf>
    <xf numFmtId="4" fontId="5" fillId="0" borderId="19" xfId="90" applyNumberFormat="1" applyFont="1" applyFill="1" applyBorder="1" applyAlignment="1">
      <alignment horizontal="center"/>
      <protection/>
    </xf>
    <xf numFmtId="4" fontId="5" fillId="0" borderId="19" xfId="90" applyNumberFormat="1" applyFont="1" applyFill="1" applyBorder="1" applyAlignment="1">
      <alignment horizontal="right"/>
      <protection/>
    </xf>
    <xf numFmtId="2" fontId="5" fillId="0" borderId="19" xfId="90" applyNumberFormat="1" applyFont="1" applyFill="1" applyBorder="1" applyAlignment="1">
      <alignment horizontal="right"/>
      <protection/>
    </xf>
    <xf numFmtId="0" fontId="107" fillId="33" borderId="0" xfId="0" applyFont="1" applyFill="1" applyAlignment="1">
      <alignment horizontal="right"/>
    </xf>
    <xf numFmtId="2" fontId="5" fillId="0" borderId="19" xfId="0" applyNumberFormat="1" applyFont="1" applyFill="1" applyBorder="1" applyAlignment="1">
      <alignment horizontal="right" vertical="center"/>
    </xf>
    <xf numFmtId="0" fontId="108" fillId="0" borderId="0" xfId="0" applyFont="1" applyAlignment="1">
      <alignment/>
    </xf>
    <xf numFmtId="188" fontId="6" fillId="0" borderId="19" xfId="71" applyNumberFormat="1" applyFont="1" applyFill="1" applyBorder="1" applyAlignment="1">
      <alignment horizontal="right"/>
      <protection/>
    </xf>
    <xf numFmtId="188" fontId="5" fillId="0" borderId="19" xfId="71" applyNumberFormat="1" applyFont="1" applyFill="1" applyBorder="1" applyAlignment="1">
      <alignment horizontal="right"/>
      <protection/>
    </xf>
    <xf numFmtId="188" fontId="102" fillId="0" borderId="19" xfId="0" applyNumberFormat="1" applyFont="1" applyFill="1" applyBorder="1" applyAlignment="1">
      <alignment/>
    </xf>
    <xf numFmtId="188" fontId="4" fillId="0" borderId="19" xfId="71" applyNumberFormat="1" applyFont="1" applyFill="1" applyBorder="1" applyAlignment="1">
      <alignment horizontal="right"/>
      <protection/>
    </xf>
    <xf numFmtId="188" fontId="6" fillId="0" borderId="19" xfId="64" applyNumberFormat="1" applyFont="1" applyFill="1" applyBorder="1" applyAlignment="1">
      <alignment horizontal="right"/>
    </xf>
    <xf numFmtId="188" fontId="5" fillId="0" borderId="19" xfId="0" applyNumberFormat="1" applyFont="1" applyFill="1" applyBorder="1" applyAlignment="1">
      <alignment/>
    </xf>
    <xf numFmtId="188" fontId="6" fillId="0" borderId="19" xfId="90" applyNumberFormat="1" applyFont="1" applyFill="1" applyBorder="1" applyAlignment="1">
      <alignment horizontal="right"/>
      <protection/>
    </xf>
    <xf numFmtId="188" fontId="6" fillId="0" borderId="19" xfId="0" applyNumberFormat="1" applyFont="1" applyBorder="1" applyAlignment="1">
      <alignment/>
    </xf>
    <xf numFmtId="188" fontId="92" fillId="0" borderId="19" xfId="0" applyNumberFormat="1" applyFont="1" applyFill="1" applyBorder="1" applyAlignment="1">
      <alignment/>
    </xf>
    <xf numFmtId="188" fontId="6" fillId="0" borderId="19" xfId="0" applyNumberFormat="1" applyFont="1" applyFill="1" applyBorder="1" applyAlignment="1">
      <alignment/>
    </xf>
    <xf numFmtId="188" fontId="4" fillId="0" borderId="19" xfId="0" applyNumberFormat="1" applyFont="1" applyFill="1" applyBorder="1" applyAlignment="1">
      <alignment/>
    </xf>
    <xf numFmtId="188" fontId="4" fillId="0" borderId="19" xfId="0" applyNumberFormat="1" applyFont="1" applyBorder="1" applyAlignment="1">
      <alignment/>
    </xf>
    <xf numFmtId="188" fontId="92" fillId="0" borderId="19" xfId="0" applyNumberFormat="1" applyFont="1" applyFill="1" applyBorder="1" applyAlignment="1">
      <alignment horizontal="right"/>
    </xf>
    <xf numFmtId="4" fontId="91" fillId="33" borderId="12" xfId="89" applyNumberFormat="1" applyFont="1" applyFill="1" applyBorder="1" applyAlignment="1">
      <alignment horizontal="center" vertical="center"/>
      <protection/>
    </xf>
    <xf numFmtId="4" fontId="91" fillId="33" borderId="0" xfId="8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justify" vertical="justify" wrapText="1"/>
    </xf>
    <xf numFmtId="0" fontId="6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5" fillId="0" borderId="0" xfId="0" applyFont="1" applyBorder="1" applyAlignment="1">
      <alignment/>
    </xf>
    <xf numFmtId="0" fontId="0" fillId="0" borderId="0" xfId="0" applyBorder="1" applyAlignment="1">
      <alignment horizontal="justify" vertical="justify" wrapText="1"/>
    </xf>
    <xf numFmtId="2" fontId="0" fillId="0" borderId="0" xfId="0" applyNumberFormat="1" applyBorder="1" applyAlignment="1">
      <alignment/>
    </xf>
    <xf numFmtId="0" fontId="83" fillId="0" borderId="0" xfId="0" applyFont="1" applyFill="1" applyAlignment="1">
      <alignment/>
    </xf>
    <xf numFmtId="4" fontId="6" fillId="34" borderId="18" xfId="90" applyNumberFormat="1" applyFont="1" applyFill="1" applyBorder="1" applyAlignment="1">
      <alignment horizontal="right"/>
      <protection/>
    </xf>
    <xf numFmtId="0" fontId="7" fillId="33" borderId="22" xfId="0" applyFont="1" applyFill="1" applyBorder="1" applyAlignment="1">
      <alignment horizontal="right"/>
    </xf>
    <xf numFmtId="0" fontId="7" fillId="33" borderId="22" xfId="0" applyFont="1" applyFill="1" applyBorder="1" applyAlignment="1">
      <alignment horizontal="right" vertical="justify" wrapText="1"/>
    </xf>
    <xf numFmtId="4" fontId="7" fillId="33" borderId="22" xfId="71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justify" wrapText="1"/>
    </xf>
    <xf numFmtId="2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justify" vertical="justify" wrapText="1"/>
    </xf>
    <xf numFmtId="2" fontId="6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justify" vertical="justify" wrapText="1"/>
    </xf>
    <xf numFmtId="2" fontId="6" fillId="0" borderId="17" xfId="0" applyNumberFormat="1" applyFont="1" applyFill="1" applyBorder="1" applyAlignment="1">
      <alignment/>
    </xf>
    <xf numFmtId="0" fontId="6" fillId="0" borderId="22" xfId="90" applyFont="1" applyFill="1" applyBorder="1" applyAlignment="1">
      <alignment horizontal="justify" vertical="top" wrapText="1"/>
      <protection/>
    </xf>
    <xf numFmtId="4" fontId="6" fillId="0" borderId="22" xfId="90" applyNumberFormat="1" applyFont="1" applyFill="1" applyBorder="1" applyAlignment="1">
      <alignment horizontal="center"/>
      <protection/>
    </xf>
    <xf numFmtId="0" fontId="92" fillId="0" borderId="18" xfId="0" applyFont="1" applyFill="1" applyBorder="1" applyAlignment="1">
      <alignment horizontal="justify" vertical="justify" wrapText="1"/>
    </xf>
    <xf numFmtId="2" fontId="6" fillId="0" borderId="19" xfId="64" applyNumberFormat="1" applyFont="1" applyFill="1" applyBorder="1" applyAlignment="1">
      <alignment horizontal="center" vertical="center" wrapText="1"/>
    </xf>
    <xf numFmtId="2" fontId="92" fillId="0" borderId="19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3" fillId="34" borderId="0" xfId="69" applyFont="1" applyFill="1" applyBorder="1">
      <alignment/>
      <protection/>
    </xf>
    <xf numFmtId="0" fontId="0" fillId="0" borderId="19" xfId="0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44" fontId="11" fillId="0" borderId="12" xfId="74" applyNumberFormat="1" applyFont="1" applyBorder="1" applyAlignment="1">
      <alignment horizontal="center" vertical="center" wrapText="1" readingOrder="1"/>
      <protection/>
    </xf>
    <xf numFmtId="44" fontId="11" fillId="0" borderId="0" xfId="74" applyNumberFormat="1" applyFont="1" applyBorder="1" applyAlignment="1">
      <alignment horizontal="center" vertical="center" wrapText="1" readingOrder="1"/>
      <protection/>
    </xf>
    <xf numFmtId="4" fontId="10" fillId="0" borderId="0" xfId="74" applyNumberFormat="1" applyFont="1" applyFill="1" applyBorder="1" applyAlignment="1">
      <alignment horizontal="center" vertical="center" wrapText="1" readingOrder="1"/>
      <protection/>
    </xf>
    <xf numFmtId="0" fontId="10" fillId="0" borderId="0" xfId="89" applyFont="1" applyFill="1" applyBorder="1" applyAlignment="1">
      <alignment horizontal="center"/>
      <protection/>
    </xf>
    <xf numFmtId="4" fontId="10" fillId="0" borderId="0" xfId="74" applyNumberFormat="1" applyFont="1" applyFill="1" applyBorder="1" applyAlignment="1">
      <alignment horizontal="center" vertical="center" wrapText="1"/>
      <protection/>
    </xf>
    <xf numFmtId="4" fontId="10" fillId="0" borderId="0" xfId="89" applyNumberFormat="1" applyFont="1" applyFill="1" applyBorder="1" applyAlignment="1">
      <alignment horizontal="center" vertical="center" wrapText="1"/>
      <protection/>
    </xf>
    <xf numFmtId="4" fontId="10" fillId="0" borderId="17" xfId="8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90" applyFont="1" applyFill="1" applyBorder="1" applyAlignment="1">
      <alignment horizontal="justify" vertical="center" wrapText="1"/>
      <protection/>
    </xf>
    <xf numFmtId="4" fontId="6" fillId="0" borderId="0" xfId="9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90" applyFont="1" applyFill="1" applyBorder="1" applyAlignment="1">
      <alignment horizontal="justify" vertical="center" wrapText="1"/>
      <protection/>
    </xf>
    <xf numFmtId="4" fontId="6" fillId="0" borderId="12" xfId="90" applyNumberFormat="1" applyFont="1" applyFill="1" applyBorder="1" applyAlignment="1">
      <alignment horizontal="right" vertical="center"/>
      <protection/>
    </xf>
    <xf numFmtId="4" fontId="6" fillId="0" borderId="15" xfId="71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7" xfId="90" applyFont="1" applyFill="1" applyBorder="1" applyAlignment="1">
      <alignment horizontal="justify" vertical="center" wrapText="1"/>
      <protection/>
    </xf>
    <xf numFmtId="4" fontId="6" fillId="0" borderId="17" xfId="90" applyNumberFormat="1" applyFont="1" applyFill="1" applyBorder="1" applyAlignment="1">
      <alignment horizontal="center" vertical="center"/>
      <protection/>
    </xf>
    <xf numFmtId="4" fontId="6" fillId="0" borderId="17" xfId="90" applyNumberFormat="1" applyFont="1" applyFill="1" applyBorder="1" applyAlignment="1">
      <alignment horizontal="right" vertical="center"/>
      <protection/>
    </xf>
    <xf numFmtId="4" fontId="6" fillId="0" borderId="20" xfId="71" applyNumberFormat="1" applyFont="1" applyFill="1" applyBorder="1" applyAlignment="1">
      <alignment horizontal="right" vertical="center"/>
      <protection/>
    </xf>
    <xf numFmtId="4" fontId="7" fillId="0" borderId="12" xfId="90" applyNumberFormat="1" applyFont="1" applyFill="1" applyBorder="1" applyAlignment="1">
      <alignment horizontal="center" vertical="center"/>
      <protection/>
    </xf>
    <xf numFmtId="4" fontId="21" fillId="0" borderId="13" xfId="71" applyNumberFormat="1" applyFont="1" applyFill="1" applyBorder="1" applyAlignment="1">
      <alignment horizontal="right" vertical="center"/>
      <protection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90" applyFont="1" applyFill="1" applyBorder="1" applyAlignment="1">
      <alignment horizontal="justify" vertical="top" wrapText="1"/>
      <protection/>
    </xf>
    <xf numFmtId="0" fontId="6" fillId="33" borderId="19" xfId="90" applyFont="1" applyFill="1" applyBorder="1" applyAlignment="1">
      <alignment horizontal="center" vertical="center"/>
      <protection/>
    </xf>
    <xf numFmtId="4" fontId="6" fillId="33" borderId="19" xfId="90" applyNumberFormat="1" applyFont="1" applyFill="1" applyBorder="1" applyAlignment="1">
      <alignment horizontal="center"/>
      <protection/>
    </xf>
    <xf numFmtId="188" fontId="6" fillId="33" borderId="19" xfId="0" applyNumberFormat="1" applyFont="1" applyFill="1" applyBorder="1" applyAlignment="1">
      <alignment/>
    </xf>
    <xf numFmtId="188" fontId="6" fillId="33" borderId="19" xfId="71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175" fontId="7" fillId="33" borderId="0" xfId="0" applyNumberFormat="1" applyFont="1" applyFill="1" applyBorder="1" applyAlignment="1">
      <alignment/>
    </xf>
    <xf numFmtId="175" fontId="7" fillId="33" borderId="15" xfId="71" applyNumberFormat="1" applyFont="1" applyFill="1" applyBorder="1" applyAlignment="1">
      <alignment horizontal="right"/>
      <protection/>
    </xf>
    <xf numFmtId="175" fontId="6" fillId="33" borderId="0" xfId="0" applyNumberFormat="1" applyFont="1" applyFill="1" applyBorder="1" applyAlignment="1">
      <alignment/>
    </xf>
    <xf numFmtId="175" fontId="6" fillId="33" borderId="15" xfId="71" applyNumberFormat="1" applyFont="1" applyFill="1" applyBorder="1" applyAlignment="1">
      <alignment horizontal="right"/>
      <protection/>
    </xf>
    <xf numFmtId="0" fontId="6" fillId="33" borderId="19" xfId="0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4" fontId="6" fillId="34" borderId="0" xfId="90" applyNumberFormat="1" applyFont="1" applyFill="1" applyBorder="1" applyAlignment="1">
      <alignment horizontal="center"/>
      <protection/>
    </xf>
    <xf numFmtId="0" fontId="92" fillId="33" borderId="19" xfId="0" applyFont="1" applyFill="1" applyBorder="1" applyAlignment="1">
      <alignment horizontal="justify" vertical="justify" wrapText="1"/>
    </xf>
    <xf numFmtId="0" fontId="92" fillId="33" borderId="18" xfId="0" applyFont="1" applyFill="1" applyBorder="1" applyAlignment="1">
      <alignment horizontal="justify" vertical="justify" wrapText="1"/>
    </xf>
    <xf numFmtId="0" fontId="6" fillId="0" borderId="18" xfId="0" applyFont="1" applyFill="1" applyBorder="1" applyAlignment="1">
      <alignment horizontal="justify" vertical="justify" wrapText="1"/>
    </xf>
    <xf numFmtId="0" fontId="6" fillId="0" borderId="21" xfId="90" applyFont="1" applyFill="1" applyBorder="1" applyAlignment="1">
      <alignment horizontal="justify" vertical="top" wrapText="1"/>
      <protection/>
    </xf>
    <xf numFmtId="0" fontId="11" fillId="34" borderId="23" xfId="86" applyFont="1" applyFill="1" applyBorder="1" applyAlignment="1">
      <alignment vertical="top"/>
      <protection/>
    </xf>
    <xf numFmtId="39" fontId="10" fillId="34" borderId="23" xfId="85" applyNumberFormat="1" applyFont="1" applyFill="1" applyBorder="1" applyAlignment="1">
      <alignment/>
      <protection/>
    </xf>
    <xf numFmtId="0" fontId="13" fillId="34" borderId="19" xfId="88" applyFont="1" applyFill="1" applyBorder="1" applyAlignment="1">
      <alignment vertical="top"/>
      <protection/>
    </xf>
    <xf numFmtId="0" fontId="13" fillId="34" borderId="19" xfId="88" applyFont="1" applyFill="1" applyBorder="1" applyAlignment="1">
      <alignment horizontal="left" vertical="top"/>
      <protection/>
    </xf>
    <xf numFmtId="10" fontId="14" fillId="34" borderId="19" xfId="98" applyNumberFormat="1" applyFont="1" applyFill="1" applyBorder="1" applyAlignment="1" quotePrefix="1">
      <alignment/>
    </xf>
    <xf numFmtId="39" fontId="14" fillId="34" borderId="19" xfId="85" applyNumberFormat="1" applyFont="1" applyFill="1" applyBorder="1" applyAlignment="1">
      <alignment/>
      <protection/>
    </xf>
    <xf numFmtId="4" fontId="25" fillId="0" borderId="0" xfId="85" applyNumberFormat="1" applyFont="1">
      <alignment/>
      <protection/>
    </xf>
    <xf numFmtId="0" fontId="109" fillId="33" borderId="14" xfId="0" applyFont="1" applyFill="1" applyBorder="1" applyAlignment="1">
      <alignment/>
    </xf>
    <xf numFmtId="0" fontId="109" fillId="33" borderId="0" xfId="0" applyFont="1" applyFill="1" applyBorder="1" applyAlignment="1">
      <alignment/>
    </xf>
    <xf numFmtId="0" fontId="109" fillId="33" borderId="0" xfId="0" applyFont="1" applyFill="1" applyBorder="1" applyAlignment="1">
      <alignment horizontal="justify" vertical="justify" wrapText="1"/>
    </xf>
    <xf numFmtId="4" fontId="109" fillId="33" borderId="15" xfId="71" applyNumberFormat="1" applyFont="1" applyFill="1" applyBorder="1" applyAlignment="1">
      <alignment horizontal="right"/>
      <protection/>
    </xf>
    <xf numFmtId="0" fontId="110" fillId="0" borderId="0" xfId="0" applyFont="1" applyAlignment="1">
      <alignment/>
    </xf>
    <xf numFmtId="0" fontId="111" fillId="33" borderId="14" xfId="0" applyFont="1" applyFill="1" applyBorder="1" applyAlignment="1">
      <alignment/>
    </xf>
    <xf numFmtId="0" fontId="111" fillId="33" borderId="0" xfId="0" applyFont="1" applyFill="1" applyBorder="1" applyAlignment="1">
      <alignment/>
    </xf>
    <xf numFmtId="0" fontId="111" fillId="33" borderId="0" xfId="0" applyFont="1" applyFill="1" applyBorder="1" applyAlignment="1">
      <alignment horizontal="justify" vertical="justify" wrapText="1"/>
    </xf>
    <xf numFmtId="4" fontId="26" fillId="33" borderId="15" xfId="71" applyNumberFormat="1" applyFont="1" applyFill="1" applyBorder="1" applyAlignment="1">
      <alignment horizontal="right"/>
      <protection/>
    </xf>
    <xf numFmtId="0" fontId="112" fillId="0" borderId="0" xfId="0" applyFont="1" applyAlignment="1">
      <alignment/>
    </xf>
    <xf numFmtId="0" fontId="91" fillId="33" borderId="14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 vertical="justify" wrapText="1"/>
    </xf>
    <xf numFmtId="4" fontId="91" fillId="33" borderId="0" xfId="0" applyNumberFormat="1" applyFont="1" applyFill="1" applyBorder="1" applyAlignment="1">
      <alignment/>
    </xf>
    <xf numFmtId="188" fontId="6" fillId="34" borderId="19" xfId="0" applyNumberFormat="1" applyFont="1" applyFill="1" applyBorder="1" applyAlignment="1">
      <alignment/>
    </xf>
    <xf numFmtId="188" fontId="6" fillId="34" borderId="19" xfId="71" applyNumberFormat="1" applyFont="1" applyFill="1" applyBorder="1" applyAlignment="1">
      <alignment horizontal="right"/>
      <protection/>
    </xf>
    <xf numFmtId="188" fontId="6" fillId="34" borderId="19" xfId="64" applyNumberFormat="1" applyFont="1" applyFill="1" applyBorder="1" applyAlignment="1">
      <alignment horizontal="right"/>
    </xf>
    <xf numFmtId="0" fontId="92" fillId="34" borderId="19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22" xfId="0" applyNumberFormat="1" applyFont="1" applyFill="1" applyBorder="1" applyAlignment="1">
      <alignment/>
    </xf>
    <xf numFmtId="0" fontId="6" fillId="34" borderId="22" xfId="0" applyFont="1" applyFill="1" applyBorder="1" applyAlignment="1">
      <alignment horizontal="center" vertical="justify" wrapText="1"/>
    </xf>
    <xf numFmtId="0" fontId="6" fillId="34" borderId="22" xfId="0" applyFont="1" applyFill="1" applyBorder="1" applyAlignment="1">
      <alignment horizontal="justify" vertical="justify" wrapText="1"/>
    </xf>
    <xf numFmtId="0" fontId="6" fillId="34" borderId="22" xfId="0" applyFont="1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12" fillId="0" borderId="14" xfId="90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90" applyFont="1" applyFill="1" applyBorder="1" applyAlignment="1">
      <alignment horizontal="justify" vertical="top" wrapText="1"/>
      <protection/>
    </xf>
    <xf numFmtId="4" fontId="12" fillId="0" borderId="0" xfId="90" applyNumberFormat="1" applyFont="1" applyFill="1" applyBorder="1" applyAlignment="1">
      <alignment horizontal="center"/>
      <protection/>
    </xf>
    <xf numFmtId="4" fontId="12" fillId="0" borderId="0" xfId="90" applyNumberFormat="1" applyFont="1" applyFill="1" applyBorder="1" applyAlignment="1">
      <alignment horizontal="right"/>
      <protection/>
    </xf>
    <xf numFmtId="4" fontId="12" fillId="0" borderId="15" xfId="71" applyNumberFormat="1" applyFont="1" applyFill="1" applyBorder="1" applyAlignment="1">
      <alignment horizontal="right"/>
      <protection/>
    </xf>
    <xf numFmtId="4" fontId="9" fillId="0" borderId="0" xfId="85" applyNumberFormat="1">
      <alignment/>
      <protection/>
    </xf>
    <xf numFmtId="188" fontId="47" fillId="33" borderId="0" xfId="0" applyNumberFormat="1" applyFont="1" applyFill="1" applyAlignment="1">
      <alignment/>
    </xf>
    <xf numFmtId="0" fontId="6" fillId="37" borderId="19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justify" vertical="justify" wrapText="1"/>
    </xf>
    <xf numFmtId="0" fontId="6" fillId="37" borderId="19" xfId="0" applyFont="1" applyFill="1" applyBorder="1" applyAlignment="1">
      <alignment/>
    </xf>
    <xf numFmtId="188" fontId="6" fillId="37" borderId="19" xfId="0" applyNumberFormat="1" applyFont="1" applyFill="1" applyBorder="1" applyAlignment="1">
      <alignment/>
    </xf>
    <xf numFmtId="188" fontId="6" fillId="37" borderId="19" xfId="71" applyNumberFormat="1" applyFont="1" applyFill="1" applyBorder="1" applyAlignment="1">
      <alignment horizontal="right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8" fontId="0" fillId="0" borderId="19" xfId="0" applyNumberForma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4" fontId="92" fillId="33" borderId="14" xfId="89" applyNumberFormat="1" applyFont="1" applyFill="1" applyBorder="1" applyAlignment="1">
      <alignment horizontal="left" vertical="center"/>
      <protection/>
    </xf>
    <xf numFmtId="4" fontId="92" fillId="33" borderId="0" xfId="89" applyNumberFormat="1" applyFont="1" applyFill="1" applyBorder="1" applyAlignment="1">
      <alignment horizontal="left" vertical="center"/>
      <protection/>
    </xf>
    <xf numFmtId="4" fontId="92" fillId="33" borderId="15" xfId="89" applyNumberFormat="1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horizontal="left" vertical="center" wrapText="1" readingOrder="1"/>
    </xf>
    <xf numFmtId="0" fontId="6" fillId="33" borderId="0" xfId="0" applyFont="1" applyFill="1" applyBorder="1" applyAlignment="1">
      <alignment horizontal="left" vertical="center" wrapText="1" readingOrder="1"/>
    </xf>
    <xf numFmtId="0" fontId="6" fillId="33" borderId="15" xfId="0" applyFont="1" applyFill="1" applyBorder="1" applyAlignment="1">
      <alignment horizontal="left" vertical="center" wrapText="1" readingOrder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4" fontId="92" fillId="33" borderId="14" xfId="74" applyNumberFormat="1" applyFont="1" applyFill="1" applyBorder="1" applyAlignment="1">
      <alignment horizontal="left" vertical="center"/>
      <protection/>
    </xf>
    <xf numFmtId="4" fontId="92" fillId="33" borderId="0" xfId="74" applyNumberFormat="1" applyFont="1" applyFill="1" applyBorder="1" applyAlignment="1">
      <alignment horizontal="left" vertical="center"/>
      <protection/>
    </xf>
    <xf numFmtId="4" fontId="92" fillId="33" borderId="15" xfId="74" applyNumberFormat="1" applyFont="1" applyFill="1" applyBorder="1" applyAlignment="1">
      <alignment horizontal="left" vertical="center"/>
      <protection/>
    </xf>
    <xf numFmtId="0" fontId="6" fillId="33" borderId="16" xfId="89" applyFont="1" applyFill="1" applyBorder="1" applyAlignment="1">
      <alignment horizontal="left"/>
      <protection/>
    </xf>
    <xf numFmtId="0" fontId="6" fillId="33" borderId="17" xfId="89" applyFont="1" applyFill="1" applyBorder="1" applyAlignment="1">
      <alignment horizontal="left"/>
      <protection/>
    </xf>
    <xf numFmtId="0" fontId="6" fillId="33" borderId="20" xfId="89" applyFont="1" applyFill="1" applyBorder="1" applyAlignment="1">
      <alignment horizontal="left"/>
      <protection/>
    </xf>
    <xf numFmtId="0" fontId="7" fillId="0" borderId="16" xfId="90" applyFont="1" applyFill="1" applyBorder="1" applyAlignment="1">
      <alignment horizontal="center" vertical="top" wrapText="1"/>
      <protection/>
    </xf>
    <xf numFmtId="0" fontId="7" fillId="0" borderId="17" xfId="90" applyFont="1" applyFill="1" applyBorder="1" applyAlignment="1">
      <alignment horizontal="center" vertical="top" wrapText="1"/>
      <protection/>
    </xf>
    <xf numFmtId="0" fontId="7" fillId="0" borderId="20" xfId="90" applyFont="1" applyFill="1" applyBorder="1" applyAlignment="1">
      <alignment horizontal="center" vertical="top" wrapText="1"/>
      <protection/>
    </xf>
    <xf numFmtId="0" fontId="7" fillId="0" borderId="24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49" fontId="91" fillId="33" borderId="24" xfId="88" applyNumberFormat="1" applyFont="1" applyFill="1" applyBorder="1" applyAlignment="1">
      <alignment horizontal="center" vertical="center" wrapText="1"/>
      <protection/>
    </xf>
    <xf numFmtId="0" fontId="92" fillId="33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justify" wrapText="1"/>
    </xf>
    <xf numFmtId="0" fontId="7" fillId="0" borderId="22" xfId="0" applyFont="1" applyFill="1" applyBorder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justify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92" fillId="33" borderId="0" xfId="89" applyNumberFormat="1" applyFont="1" applyFill="1" applyBorder="1" applyAlignment="1">
      <alignment horizontal="center" vertical="center"/>
      <protection/>
    </xf>
    <xf numFmtId="4" fontId="92" fillId="33" borderId="15" xfId="89" applyNumberFormat="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92" fillId="33" borderId="0" xfId="74" applyNumberFormat="1" applyFont="1" applyFill="1" applyBorder="1" applyAlignment="1">
      <alignment horizontal="center" vertical="center"/>
      <protection/>
    </xf>
    <xf numFmtId="4" fontId="92" fillId="33" borderId="15" xfId="74" applyNumberFormat="1" applyFont="1" applyFill="1" applyBorder="1" applyAlignment="1">
      <alignment horizontal="center" vertical="center"/>
      <protection/>
    </xf>
    <xf numFmtId="8" fontId="49" fillId="0" borderId="0" xfId="0" applyNumberFormat="1" applyFont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justify" wrapText="1"/>
    </xf>
    <xf numFmtId="0" fontId="5" fillId="0" borderId="22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horizontal="center" vertical="justify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6" fillId="33" borderId="17" xfId="89" applyFont="1" applyFill="1" applyBorder="1" applyAlignment="1">
      <alignment horizontal="center"/>
      <protection/>
    </xf>
    <xf numFmtId="0" fontId="6" fillId="33" borderId="20" xfId="89" applyFont="1" applyFill="1" applyBorder="1" applyAlignment="1">
      <alignment horizontal="center"/>
      <protection/>
    </xf>
    <xf numFmtId="49" fontId="102" fillId="34" borderId="24" xfId="88" applyNumberFormat="1" applyFont="1" applyFill="1" applyBorder="1" applyAlignment="1">
      <alignment horizontal="center" vertical="center" wrapText="1"/>
      <protection/>
    </xf>
    <xf numFmtId="49" fontId="102" fillId="34" borderId="23" xfId="88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/>
    </xf>
    <xf numFmtId="10" fontId="11" fillId="0" borderId="24" xfId="98" applyNumberFormat="1" applyFont="1" applyBorder="1" applyAlignment="1">
      <alignment horizontal="center"/>
    </xf>
    <xf numFmtId="10" fontId="11" fillId="0" borderId="25" xfId="98" applyNumberFormat="1" applyFont="1" applyBorder="1" applyAlignment="1">
      <alignment horizontal="center"/>
    </xf>
    <xf numFmtId="4" fontId="11" fillId="0" borderId="24" xfId="87" applyNumberFormat="1" applyFont="1" applyBorder="1" applyAlignment="1">
      <alignment horizontal="center"/>
      <protection/>
    </xf>
    <xf numFmtId="4" fontId="11" fillId="0" borderId="25" xfId="87" applyNumberFormat="1" applyFont="1" applyBorder="1" applyAlignment="1">
      <alignment horizontal="center"/>
      <protection/>
    </xf>
    <xf numFmtId="0" fontId="11" fillId="0" borderId="24" xfId="85" applyFont="1" applyBorder="1" applyAlignment="1">
      <alignment horizontal="left" vertical="top"/>
      <protection/>
    </xf>
    <xf numFmtId="0" fontId="11" fillId="0" borderId="25" xfId="85" applyFont="1" applyBorder="1" applyAlignment="1">
      <alignment horizontal="left" vertical="top"/>
      <protection/>
    </xf>
    <xf numFmtId="10" fontId="11" fillId="0" borderId="24" xfId="85" applyNumberFormat="1" applyFont="1" applyBorder="1" applyAlignment="1">
      <alignment horizontal="center"/>
      <protection/>
    </xf>
    <xf numFmtId="0" fontId="11" fillId="0" borderId="25" xfId="85" applyFont="1" applyBorder="1" applyAlignment="1">
      <alignment horizontal="center"/>
      <protection/>
    </xf>
    <xf numFmtId="39" fontId="11" fillId="0" borderId="24" xfId="85" applyNumberFormat="1" applyFont="1" applyBorder="1" applyAlignment="1">
      <alignment horizontal="center"/>
      <protection/>
    </xf>
    <xf numFmtId="39" fontId="11" fillId="0" borderId="25" xfId="85" applyNumberFormat="1" applyFont="1" applyBorder="1" applyAlignment="1">
      <alignment horizontal="center"/>
      <protection/>
    </xf>
    <xf numFmtId="0" fontId="11" fillId="34" borderId="19" xfId="86" applyFont="1" applyFill="1" applyBorder="1" applyAlignment="1">
      <alignment horizontal="center" vertical="top"/>
      <protection/>
    </xf>
    <xf numFmtId="1" fontId="11" fillId="0" borderId="24" xfId="85" applyNumberFormat="1" applyFont="1" applyBorder="1" applyAlignment="1">
      <alignment horizontal="left" vertical="top"/>
      <protection/>
    </xf>
    <xf numFmtId="1" fontId="11" fillId="0" borderId="25" xfId="85" applyNumberFormat="1" applyFont="1" applyBorder="1" applyAlignment="1">
      <alignment horizontal="left" vertical="top"/>
      <protection/>
    </xf>
    <xf numFmtId="4" fontId="10" fillId="0" borderId="14" xfId="74" applyNumberFormat="1" applyFont="1" applyFill="1" applyBorder="1" applyAlignment="1">
      <alignment horizontal="center" vertical="center" wrapText="1"/>
      <protection/>
    </xf>
    <xf numFmtId="4" fontId="10" fillId="0" borderId="0" xfId="74" applyNumberFormat="1" applyFont="1" applyFill="1" applyBorder="1" applyAlignment="1">
      <alignment horizontal="center" vertical="center" wrapText="1"/>
      <protection/>
    </xf>
    <xf numFmtId="4" fontId="10" fillId="0" borderId="14" xfId="89" applyNumberFormat="1" applyFont="1" applyFill="1" applyBorder="1" applyAlignment="1">
      <alignment horizontal="center" vertical="center" wrapText="1"/>
      <protection/>
    </xf>
    <xf numFmtId="4" fontId="10" fillId="0" borderId="0" xfId="89" applyNumberFormat="1" applyFont="1" applyFill="1" applyBorder="1" applyAlignment="1">
      <alignment horizontal="center" vertical="center" wrapText="1"/>
      <protection/>
    </xf>
    <xf numFmtId="4" fontId="10" fillId="0" borderId="16" xfId="89" applyNumberFormat="1" applyFont="1" applyFill="1" applyBorder="1" applyAlignment="1">
      <alignment horizontal="center" vertical="center" wrapText="1"/>
      <protection/>
    </xf>
    <xf numFmtId="4" fontId="10" fillId="0" borderId="17" xfId="89" applyNumberFormat="1" applyFont="1" applyFill="1" applyBorder="1" applyAlignment="1">
      <alignment horizontal="center" vertical="center" wrapText="1"/>
      <protection/>
    </xf>
    <xf numFmtId="0" fontId="12" fillId="0" borderId="18" xfId="85" applyFont="1" applyBorder="1" applyAlignment="1">
      <alignment horizontal="center" wrapText="1"/>
      <protection/>
    </xf>
    <xf numFmtId="0" fontId="12" fillId="0" borderId="21" xfId="85" applyFont="1" applyBorder="1" applyAlignment="1">
      <alignment horizontal="center" wrapText="1"/>
      <protection/>
    </xf>
    <xf numFmtId="0" fontId="12" fillId="0" borderId="22" xfId="85" applyFont="1" applyBorder="1" applyAlignment="1">
      <alignment horizontal="center" wrapText="1"/>
      <protection/>
    </xf>
    <xf numFmtId="0" fontId="12" fillId="0" borderId="24" xfId="85" applyFont="1" applyBorder="1" applyAlignment="1">
      <alignment horizontal="center"/>
      <protection/>
    </xf>
    <xf numFmtId="0" fontId="12" fillId="0" borderId="23" xfId="85" applyFont="1" applyBorder="1" applyAlignment="1">
      <alignment horizontal="center"/>
      <protection/>
    </xf>
    <xf numFmtId="0" fontId="12" fillId="0" borderId="25" xfId="85" applyFont="1" applyBorder="1" applyAlignment="1">
      <alignment horizontal="center"/>
      <protection/>
    </xf>
    <xf numFmtId="0" fontId="11" fillId="0" borderId="24" xfId="89" applyFont="1" applyFill="1" applyBorder="1" applyAlignment="1">
      <alignment horizontal="center" vertical="center" wrapText="1"/>
      <protection/>
    </xf>
    <xf numFmtId="0" fontId="11" fillId="0" borderId="23" xfId="89" applyFont="1" applyFill="1" applyBorder="1" applyAlignment="1">
      <alignment horizontal="center" vertical="center" wrapText="1"/>
      <protection/>
    </xf>
    <xf numFmtId="0" fontId="11" fillId="0" borderId="25" xfId="89" applyFont="1" applyFill="1" applyBorder="1" applyAlignment="1">
      <alignment horizontal="center" vertical="center" wrapText="1"/>
      <protection/>
    </xf>
    <xf numFmtId="44" fontId="11" fillId="0" borderId="11" xfId="74" applyNumberFormat="1" applyFont="1" applyBorder="1" applyAlignment="1">
      <alignment horizontal="center" vertical="center" wrapText="1" readingOrder="1"/>
      <protection/>
    </xf>
    <xf numFmtId="44" fontId="11" fillId="0" borderId="12" xfId="74" applyNumberFormat="1" applyFont="1" applyBorder="1" applyAlignment="1">
      <alignment horizontal="center" vertical="center" wrapText="1" readingOrder="1"/>
      <protection/>
    </xf>
    <xf numFmtId="44" fontId="11" fillId="0" borderId="14" xfId="74" applyNumberFormat="1" applyFont="1" applyBorder="1" applyAlignment="1">
      <alignment horizontal="center" vertical="center" wrapText="1" readingOrder="1"/>
      <protection/>
    </xf>
    <xf numFmtId="44" fontId="11" fillId="0" borderId="0" xfId="74" applyNumberFormat="1" applyFont="1" applyBorder="1" applyAlignment="1">
      <alignment horizontal="center" vertical="center" wrapText="1" readingOrder="1"/>
      <protection/>
    </xf>
    <xf numFmtId="4" fontId="10" fillId="0" borderId="14" xfId="74" applyNumberFormat="1" applyFont="1" applyFill="1" applyBorder="1" applyAlignment="1">
      <alignment horizontal="center" vertical="center" wrapText="1" readingOrder="1"/>
      <protection/>
    </xf>
    <xf numFmtId="4" fontId="10" fillId="0" borderId="0" xfId="74" applyNumberFormat="1" applyFont="1" applyFill="1" applyBorder="1" applyAlignment="1">
      <alignment horizontal="center" vertical="center" wrapText="1" readingOrder="1"/>
      <protection/>
    </xf>
    <xf numFmtId="0" fontId="10" fillId="0" borderId="14" xfId="89" applyFont="1" applyFill="1" applyBorder="1" applyAlignment="1">
      <alignment horizontal="center"/>
      <protection/>
    </xf>
    <xf numFmtId="0" fontId="10" fillId="0" borderId="0" xfId="89" applyFont="1" applyFill="1" applyBorder="1" applyAlignment="1">
      <alignment horizontal="center"/>
      <protection/>
    </xf>
  </cellXfs>
  <cellStyles count="10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Data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Euro" xfId="57"/>
    <cellStyle name="Euro 2" xfId="58"/>
    <cellStyle name="Euro 2 2" xfId="59"/>
    <cellStyle name="Fixo" xfId="60"/>
    <cellStyle name="Hyperlink" xfId="61"/>
    <cellStyle name="Followed Hyperlink" xfId="62"/>
    <cellStyle name="Incorreto" xfId="63"/>
    <cellStyle name="Currency" xfId="64"/>
    <cellStyle name="Currency [0]" xfId="65"/>
    <cellStyle name="Moeda 2" xfId="66"/>
    <cellStyle name="Moeda 3" xfId="67"/>
    <cellStyle name="Neutra" xfId="68"/>
    <cellStyle name="Normal 10" xfId="69"/>
    <cellStyle name="Normal 11" xfId="70"/>
    <cellStyle name="Normal 2" xfId="71"/>
    <cellStyle name="Normal 2 2" xfId="72"/>
    <cellStyle name="Normal 2 2 2" xfId="73"/>
    <cellStyle name="Normal 2 3" xfId="74"/>
    <cellStyle name="Normal 3" xfId="75"/>
    <cellStyle name="Normal 3 2" xfId="76"/>
    <cellStyle name="Normal 4" xfId="77"/>
    <cellStyle name="Normal 5" xfId="78"/>
    <cellStyle name="Normal 6" xfId="79"/>
    <cellStyle name="Normal 7" xfId="80"/>
    <cellStyle name="Normal 8" xfId="81"/>
    <cellStyle name="Normal 8 2" xfId="82"/>
    <cellStyle name="Normal 9" xfId="83"/>
    <cellStyle name="Normal 9 2" xfId="84"/>
    <cellStyle name="Normal_CRONOGRAMA" xfId="85"/>
    <cellStyle name="Normal_CRUZEI~1" xfId="86"/>
    <cellStyle name="Normal_Orçamento nº057-2003- Esc. Munic. AMPARO revisão" xfId="87"/>
    <cellStyle name="Normal_P_Getulio Vargas" xfId="88"/>
    <cellStyle name="Normal_P_Getulio Vargas 2" xfId="89"/>
    <cellStyle name="Normal_RUAS 3,4,7 e 8 R-1 2 2" xfId="90"/>
    <cellStyle name="Nota" xfId="91"/>
    <cellStyle name="Nota 2" xfId="92"/>
    <cellStyle name="Nota 3" xfId="93"/>
    <cellStyle name="Nota 4" xfId="94"/>
    <cellStyle name="Percentual" xfId="95"/>
    <cellStyle name="Ponto" xfId="96"/>
    <cellStyle name="Percent" xfId="97"/>
    <cellStyle name="Porcentagem 2" xfId="98"/>
    <cellStyle name="Porcentagem 3" xfId="99"/>
    <cellStyle name="Saída" xfId="100"/>
    <cellStyle name="Comma [0]" xfId="101"/>
    <cellStyle name="Separador de milhares 15" xfId="102"/>
    <cellStyle name="Separador de milhares 2" xfId="103"/>
    <cellStyle name="TableStyleLight1" xfId="104"/>
    <cellStyle name="Texto de Aviso" xfId="105"/>
    <cellStyle name="Texto Explicativo" xfId="106"/>
    <cellStyle name="Título" xfId="107"/>
    <cellStyle name="Título 1" xfId="108"/>
    <cellStyle name="Título 1 1" xfId="109"/>
    <cellStyle name="Título 1 1 1" xfId="110"/>
    <cellStyle name="Título 1 1_PLAN   (2)" xfId="111"/>
    <cellStyle name="Título 2" xfId="112"/>
    <cellStyle name="Título 3" xfId="113"/>
    <cellStyle name="Título 4" xfId="114"/>
    <cellStyle name="Titulo1" xfId="115"/>
    <cellStyle name="Titulo2" xfId="116"/>
    <cellStyle name="Total" xfId="117"/>
    <cellStyle name="Comma" xfId="118"/>
    <cellStyle name="Vírgula 2" xfId="119"/>
    <cellStyle name="Vírgula 2 2" xfId="120"/>
    <cellStyle name="Vírgula 3" xfId="121"/>
  </cellStyles>
  <dxfs count="159"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/>
        <i val="0"/>
      </font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1171575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657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</xdr:row>
      <xdr:rowOff>171450</xdr:rowOff>
    </xdr:from>
    <xdr:to>
      <xdr:col>14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22125" y="1181100"/>
          <a:ext cx="2076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lfredo.cunha\Desktop\Revis&#227;o%20JAN-18_Or&#231;amento%20ATI%20Vila%20Br&#237;gida%20xls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M&#218;LTIPLA%20V3.0.5(%20Reforma%20Geraldo%20Os&#243;ri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5"/>
  <cols>
    <col min="1" max="1" width="4.7109375" style="0" customWidth="1"/>
    <col min="2" max="2" width="19.8515625" style="0" bestFit="1" customWidth="1"/>
    <col min="3" max="3" width="77.8515625" style="0" bestFit="1" customWidth="1"/>
    <col min="4" max="4" width="15.57421875" style="0" bestFit="1" customWidth="1"/>
    <col min="5" max="5" width="26.28125" style="0" bestFit="1" customWidth="1"/>
    <col min="6" max="7" width="19.8515625" style="0" bestFit="1" customWidth="1"/>
  </cols>
  <sheetData>
    <row r="1" spans="1:7" ht="21">
      <c r="A1" s="528" t="s">
        <v>1282</v>
      </c>
      <c r="B1" s="528"/>
      <c r="C1" s="528"/>
      <c r="D1" s="528"/>
      <c r="E1" s="528"/>
      <c r="F1" s="528"/>
      <c r="G1" s="528"/>
    </row>
    <row r="3" spans="1:7" ht="15">
      <c r="A3" s="526" t="s">
        <v>401</v>
      </c>
      <c r="B3" s="526"/>
      <c r="C3" s="256" t="s">
        <v>402</v>
      </c>
      <c r="D3" s="256" t="s">
        <v>403</v>
      </c>
      <c r="E3" s="256" t="s">
        <v>404</v>
      </c>
      <c r="F3" s="526" t="s">
        <v>405</v>
      </c>
      <c r="G3" s="526"/>
    </row>
    <row r="4" spans="1:7" ht="50.25" customHeight="1">
      <c r="A4" s="526" t="s">
        <v>257</v>
      </c>
      <c r="B4" s="526"/>
      <c r="C4" s="292" t="s">
        <v>567</v>
      </c>
      <c r="D4" s="256" t="s">
        <v>403</v>
      </c>
      <c r="E4" s="257">
        <v>43282</v>
      </c>
      <c r="F4" s="527">
        <f>G9</f>
        <v>72.89473684210526</v>
      </c>
      <c r="G4" s="526"/>
    </row>
    <row r="5" spans="1:7" ht="22.5" customHeight="1">
      <c r="A5" s="256"/>
      <c r="B5" s="256" t="s">
        <v>406</v>
      </c>
      <c r="C5" s="256" t="s">
        <v>407</v>
      </c>
      <c r="D5" s="256" t="s">
        <v>408</v>
      </c>
      <c r="E5" s="256" t="s">
        <v>409</v>
      </c>
      <c r="F5" s="256" t="s">
        <v>410</v>
      </c>
      <c r="G5" s="256" t="s">
        <v>411</v>
      </c>
    </row>
    <row r="6" spans="1:7" ht="22.5" customHeight="1">
      <c r="A6" s="256"/>
      <c r="B6" s="256" t="s">
        <v>412</v>
      </c>
      <c r="C6" s="256" t="s">
        <v>413</v>
      </c>
      <c r="D6" s="256" t="s">
        <v>414</v>
      </c>
      <c r="E6" s="256" t="s">
        <v>415</v>
      </c>
      <c r="F6" s="258">
        <v>43467</v>
      </c>
      <c r="G6" s="289">
        <v>110</v>
      </c>
    </row>
    <row r="7" spans="1:7" ht="22.5" customHeight="1">
      <c r="A7" s="256"/>
      <c r="B7" s="256" t="s">
        <v>571</v>
      </c>
      <c r="C7" s="256" t="s">
        <v>570</v>
      </c>
      <c r="D7" s="256" t="s">
        <v>572</v>
      </c>
      <c r="E7" s="256" t="s">
        <v>573</v>
      </c>
      <c r="F7" s="258">
        <v>43468</v>
      </c>
      <c r="G7" s="289">
        <f>60+(1470/114)</f>
        <v>72.89473684210526</v>
      </c>
    </row>
    <row r="8" spans="1:7" ht="22.5" customHeight="1">
      <c r="A8" s="256"/>
      <c r="B8" s="256" t="s">
        <v>577</v>
      </c>
      <c r="C8" s="256" t="s">
        <v>574</v>
      </c>
      <c r="D8" s="256" t="s">
        <v>575</v>
      </c>
      <c r="E8" s="256" t="s">
        <v>576</v>
      </c>
      <c r="F8" s="258">
        <v>43472</v>
      </c>
      <c r="G8" s="289">
        <f>28+(3315/114)</f>
        <v>57.078947368421055</v>
      </c>
    </row>
    <row r="9" spans="1:7" ht="22.5" customHeight="1">
      <c r="A9" s="523"/>
      <c r="B9" s="524"/>
      <c r="C9" s="524"/>
      <c r="D9" s="525"/>
      <c r="E9" s="256" t="s">
        <v>416</v>
      </c>
      <c r="F9" s="256"/>
      <c r="G9" s="259">
        <f>MEDIAN(G6:G8)</f>
        <v>72.89473684210526</v>
      </c>
    </row>
    <row r="10" spans="1:7" ht="15">
      <c r="A10" s="526" t="s">
        <v>401</v>
      </c>
      <c r="B10" s="526"/>
      <c r="C10" s="282" t="s">
        <v>402</v>
      </c>
      <c r="D10" s="282" t="s">
        <v>403</v>
      </c>
      <c r="E10" s="282" t="s">
        <v>404</v>
      </c>
      <c r="F10" s="526" t="s">
        <v>405</v>
      </c>
      <c r="G10" s="526"/>
    </row>
    <row r="11" spans="1:7" ht="50.25" customHeight="1">
      <c r="A11" s="526" t="s">
        <v>578</v>
      </c>
      <c r="B11" s="526"/>
      <c r="C11" s="292" t="s">
        <v>568</v>
      </c>
      <c r="D11" s="282" t="s">
        <v>403</v>
      </c>
      <c r="E11" s="257">
        <v>43282</v>
      </c>
      <c r="F11" s="527">
        <f>G16</f>
        <v>72.89473684210526</v>
      </c>
      <c r="G11" s="526"/>
    </row>
    <row r="12" spans="1:7" ht="22.5" customHeight="1">
      <c r="A12" s="282"/>
      <c r="B12" s="282" t="s">
        <v>406</v>
      </c>
      <c r="C12" s="282" t="s">
        <v>407</v>
      </c>
      <c r="D12" s="282" t="s">
        <v>408</v>
      </c>
      <c r="E12" s="282" t="s">
        <v>409</v>
      </c>
      <c r="F12" s="282" t="s">
        <v>410</v>
      </c>
      <c r="G12" s="282" t="s">
        <v>411</v>
      </c>
    </row>
    <row r="13" spans="1:7" ht="22.5" customHeight="1">
      <c r="A13" s="282"/>
      <c r="B13" s="282" t="s">
        <v>412</v>
      </c>
      <c r="C13" s="282" t="s">
        <v>413</v>
      </c>
      <c r="D13" s="282" t="s">
        <v>414</v>
      </c>
      <c r="E13" s="282" t="s">
        <v>415</v>
      </c>
      <c r="F13" s="258">
        <v>43467</v>
      </c>
      <c r="G13" s="289">
        <v>110</v>
      </c>
    </row>
    <row r="14" spans="1:7" ht="22.5" customHeight="1">
      <c r="A14" s="282"/>
      <c r="B14" s="282" t="s">
        <v>571</v>
      </c>
      <c r="C14" s="282" t="s">
        <v>570</v>
      </c>
      <c r="D14" s="282" t="s">
        <v>572</v>
      </c>
      <c r="E14" s="282" t="s">
        <v>573</v>
      </c>
      <c r="F14" s="258">
        <v>43468</v>
      </c>
      <c r="G14" s="289">
        <f>60+(1470/114)</f>
        <v>72.89473684210526</v>
      </c>
    </row>
    <row r="15" spans="1:7" ht="22.5" customHeight="1">
      <c r="A15" s="282"/>
      <c r="B15" s="282" t="s">
        <v>577</v>
      </c>
      <c r="C15" s="282" t="s">
        <v>574</v>
      </c>
      <c r="D15" s="282" t="s">
        <v>575</v>
      </c>
      <c r="E15" s="282" t="s">
        <v>576</v>
      </c>
      <c r="F15" s="258">
        <v>43472</v>
      </c>
      <c r="G15" s="289">
        <f>33+(3315/114)</f>
        <v>62.078947368421055</v>
      </c>
    </row>
    <row r="16" spans="1:7" ht="22.5" customHeight="1">
      <c r="A16" s="523"/>
      <c r="B16" s="524"/>
      <c r="C16" s="524"/>
      <c r="D16" s="525"/>
      <c r="E16" s="282" t="s">
        <v>416</v>
      </c>
      <c r="F16" s="282"/>
      <c r="G16" s="283">
        <f>MEDIAN(G13:G15)</f>
        <v>72.89473684210526</v>
      </c>
    </row>
    <row r="17" spans="1:7" ht="15">
      <c r="A17" s="526" t="s">
        <v>401</v>
      </c>
      <c r="B17" s="526"/>
      <c r="C17" s="282" t="s">
        <v>402</v>
      </c>
      <c r="D17" s="282" t="s">
        <v>403</v>
      </c>
      <c r="E17" s="282" t="s">
        <v>404</v>
      </c>
      <c r="F17" s="526" t="s">
        <v>405</v>
      </c>
      <c r="G17" s="526"/>
    </row>
    <row r="18" spans="1:7" ht="50.25" customHeight="1">
      <c r="A18" s="526" t="s">
        <v>578</v>
      </c>
      <c r="B18" s="526"/>
      <c r="C18" s="292" t="s">
        <v>569</v>
      </c>
      <c r="D18" s="282" t="s">
        <v>403</v>
      </c>
      <c r="E18" s="257">
        <v>43282</v>
      </c>
      <c r="F18" s="527">
        <f>G23</f>
        <v>72.89473684210526</v>
      </c>
      <c r="G18" s="526"/>
    </row>
    <row r="19" spans="1:7" ht="22.5" customHeight="1">
      <c r="A19" s="282"/>
      <c r="B19" s="282" t="s">
        <v>406</v>
      </c>
      <c r="C19" s="282" t="s">
        <v>407</v>
      </c>
      <c r="D19" s="282" t="s">
        <v>408</v>
      </c>
      <c r="E19" s="282" t="s">
        <v>409</v>
      </c>
      <c r="F19" s="282" t="s">
        <v>410</v>
      </c>
      <c r="G19" s="282" t="s">
        <v>411</v>
      </c>
    </row>
    <row r="20" spans="1:7" ht="22.5" customHeight="1">
      <c r="A20" s="282"/>
      <c r="B20" s="282" t="s">
        <v>412</v>
      </c>
      <c r="C20" s="282" t="s">
        <v>413</v>
      </c>
      <c r="D20" s="282" t="s">
        <v>414</v>
      </c>
      <c r="E20" s="282" t="s">
        <v>415</v>
      </c>
      <c r="F20" s="258">
        <v>43467</v>
      </c>
      <c r="G20" s="289">
        <v>110</v>
      </c>
    </row>
    <row r="21" spans="1:7" ht="22.5" customHeight="1">
      <c r="A21" s="282"/>
      <c r="B21" s="282" t="s">
        <v>571</v>
      </c>
      <c r="C21" s="282" t="s">
        <v>570</v>
      </c>
      <c r="D21" s="282" t="s">
        <v>572</v>
      </c>
      <c r="E21" s="282" t="s">
        <v>573</v>
      </c>
      <c r="F21" s="258">
        <v>43468</v>
      </c>
      <c r="G21" s="289">
        <f>60+(1470/114)</f>
        <v>72.89473684210526</v>
      </c>
    </row>
    <row r="22" spans="1:7" ht="22.5" customHeight="1">
      <c r="A22" s="282"/>
      <c r="B22" s="282" t="s">
        <v>577</v>
      </c>
      <c r="C22" s="282" t="s">
        <v>574</v>
      </c>
      <c r="D22" s="282" t="s">
        <v>575</v>
      </c>
      <c r="E22" s="282" t="s">
        <v>576</v>
      </c>
      <c r="F22" s="258">
        <v>43472</v>
      </c>
      <c r="G22" s="289">
        <f>33+(3315/114)</f>
        <v>62.078947368421055</v>
      </c>
    </row>
    <row r="23" spans="1:7" ht="22.5" customHeight="1">
      <c r="A23" s="523"/>
      <c r="B23" s="524"/>
      <c r="C23" s="524"/>
      <c r="D23" s="525"/>
      <c r="E23" s="282" t="s">
        <v>416</v>
      </c>
      <c r="F23" s="282"/>
      <c r="G23" s="283">
        <f>MEDIAN(G20:G22)</f>
        <v>72.89473684210526</v>
      </c>
    </row>
    <row r="24" spans="1:7" ht="15">
      <c r="A24" s="526" t="s">
        <v>401</v>
      </c>
      <c r="B24" s="526"/>
      <c r="C24" s="429" t="s">
        <v>402</v>
      </c>
      <c r="D24" s="429" t="s">
        <v>403</v>
      </c>
      <c r="E24" s="429" t="s">
        <v>404</v>
      </c>
      <c r="F24" s="526" t="s">
        <v>405</v>
      </c>
      <c r="G24" s="526"/>
    </row>
    <row r="25" spans="1:7" ht="50.25" customHeight="1">
      <c r="A25" s="526" t="s">
        <v>280</v>
      </c>
      <c r="B25" s="526"/>
      <c r="C25" s="292" t="s">
        <v>478</v>
      </c>
      <c r="D25" s="429" t="s">
        <v>403</v>
      </c>
      <c r="E25" s="257">
        <v>43282</v>
      </c>
      <c r="F25" s="527">
        <f>G30</f>
        <v>642.08</v>
      </c>
      <c r="G25" s="526"/>
    </row>
    <row r="26" spans="1:7" ht="22.5" customHeight="1">
      <c r="A26" s="429"/>
      <c r="B26" s="429" t="s">
        <v>406</v>
      </c>
      <c r="C26" s="429" t="s">
        <v>407</v>
      </c>
      <c r="D26" s="429" t="s">
        <v>408</v>
      </c>
      <c r="E26" s="429" t="s">
        <v>409</v>
      </c>
      <c r="F26" s="429" t="s">
        <v>410</v>
      </c>
      <c r="G26" s="429" t="s">
        <v>411</v>
      </c>
    </row>
    <row r="27" spans="1:7" ht="22.5" customHeight="1">
      <c r="A27" s="429"/>
      <c r="B27" s="429" t="s">
        <v>1260</v>
      </c>
      <c r="C27" s="429" t="s">
        <v>1258</v>
      </c>
      <c r="D27" s="429" t="s">
        <v>1261</v>
      </c>
      <c r="E27" s="429" t="s">
        <v>1259</v>
      </c>
      <c r="F27" s="258">
        <v>43509</v>
      </c>
      <c r="G27" s="190">
        <f>749+(141.05/4)</f>
        <v>784.2625</v>
      </c>
    </row>
    <row r="28" spans="1:7" ht="22.5" customHeight="1">
      <c r="A28" s="429"/>
      <c r="B28" s="429" t="s">
        <v>1262</v>
      </c>
      <c r="C28" s="429" t="s">
        <v>1264</v>
      </c>
      <c r="D28" s="429" t="s">
        <v>1263</v>
      </c>
      <c r="E28" s="429" t="s">
        <v>1259</v>
      </c>
      <c r="F28" s="258">
        <v>43509</v>
      </c>
      <c r="G28" s="289">
        <v>642.08</v>
      </c>
    </row>
    <row r="29" spans="1:7" ht="22.5" customHeight="1">
      <c r="A29" s="429"/>
      <c r="B29" s="429" t="s">
        <v>1268</v>
      </c>
      <c r="C29" s="429" t="s">
        <v>1265</v>
      </c>
      <c r="D29" s="429" t="s">
        <v>1267</v>
      </c>
      <c r="E29" s="429" t="s">
        <v>1259</v>
      </c>
      <c r="F29" s="258">
        <v>43509</v>
      </c>
      <c r="G29" s="289">
        <v>599</v>
      </c>
    </row>
    <row r="30" spans="1:7" ht="22.5" customHeight="1">
      <c r="A30" s="523"/>
      <c r="B30" s="524"/>
      <c r="C30" s="524"/>
      <c r="D30" s="525"/>
      <c r="E30" s="429" t="s">
        <v>416</v>
      </c>
      <c r="F30" s="429"/>
      <c r="G30" s="430">
        <f>MEDIAN(G27:G29)</f>
        <v>642.08</v>
      </c>
    </row>
  </sheetData>
  <sheetProtection/>
  <mergeCells count="21">
    <mergeCell ref="A24:B24"/>
    <mergeCell ref="A1:G1"/>
    <mergeCell ref="A18:B18"/>
    <mergeCell ref="F18:G18"/>
    <mergeCell ref="A3:B3"/>
    <mergeCell ref="F3:G3"/>
    <mergeCell ref="F17:G17"/>
    <mergeCell ref="F4:G4"/>
    <mergeCell ref="F10:G10"/>
    <mergeCell ref="A4:B4"/>
    <mergeCell ref="A9:D9"/>
    <mergeCell ref="A30:D30"/>
    <mergeCell ref="A23:D23"/>
    <mergeCell ref="A11:B11"/>
    <mergeCell ref="F11:G11"/>
    <mergeCell ref="A16:D16"/>
    <mergeCell ref="A10:B10"/>
    <mergeCell ref="F25:G25"/>
    <mergeCell ref="F24:G24"/>
    <mergeCell ref="A17:B17"/>
    <mergeCell ref="A25:B2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4" r:id="rId1"/>
  <headerFooter>
    <oddFooter>&amp;L&amp;A&amp;CPágina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7"/>
  <sheetViews>
    <sheetView view="pageBreakPreview" zoomScale="70" zoomScaleSheetLayoutView="70" zoomScalePageLayoutView="0" workbookViewId="0" topLeftCell="A1227">
      <selection activeCell="F230" sqref="F230"/>
    </sheetView>
  </sheetViews>
  <sheetFormatPr defaultColWidth="9.140625" defaultRowHeight="15"/>
  <cols>
    <col min="2" max="2" width="23.7109375" style="0" customWidth="1"/>
    <col min="3" max="3" width="104.00390625" style="1" customWidth="1"/>
    <col min="4" max="4" width="11.140625" style="0" customWidth="1"/>
    <col min="5" max="5" width="11.7109375" style="0" customWidth="1"/>
    <col min="6" max="6" width="17.57421875" style="0" bestFit="1" customWidth="1"/>
    <col min="7" max="7" width="21.421875" style="0" bestFit="1" customWidth="1"/>
  </cols>
  <sheetData>
    <row r="1" spans="1:7" ht="15.75">
      <c r="A1" s="5"/>
      <c r="B1" s="6"/>
      <c r="C1" s="7" t="s">
        <v>43</v>
      </c>
      <c r="D1" s="8"/>
      <c r="E1" s="9"/>
      <c r="F1" s="10"/>
      <c r="G1" s="11"/>
    </row>
    <row r="2" spans="1:7" ht="15.75">
      <c r="A2" s="12"/>
      <c r="B2" s="13"/>
      <c r="C2" s="14" t="s">
        <v>44</v>
      </c>
      <c r="D2" s="15"/>
      <c r="E2" s="16"/>
      <c r="F2" s="17"/>
      <c r="G2" s="18"/>
    </row>
    <row r="3" spans="1:7" ht="15.75">
      <c r="A3" s="12"/>
      <c r="B3" s="13"/>
      <c r="C3" s="14" t="s">
        <v>45</v>
      </c>
      <c r="D3" s="529" t="s">
        <v>1271</v>
      </c>
      <c r="E3" s="530"/>
      <c r="F3" s="530"/>
      <c r="G3" s="531"/>
    </row>
    <row r="4" spans="1:7" ht="15.75">
      <c r="A4" s="12"/>
      <c r="B4" s="13"/>
      <c r="C4" s="19" t="s">
        <v>1281</v>
      </c>
      <c r="D4" s="532" t="s">
        <v>1538</v>
      </c>
      <c r="E4" s="533"/>
      <c r="F4" s="533"/>
      <c r="G4" s="534"/>
    </row>
    <row r="5" spans="1:7" ht="15.75">
      <c r="A5" s="12"/>
      <c r="B5" s="13"/>
      <c r="C5" s="224" t="s">
        <v>340</v>
      </c>
      <c r="D5" s="535" t="s">
        <v>117</v>
      </c>
      <c r="E5" s="536"/>
      <c r="F5" s="536"/>
      <c r="G5" s="537"/>
    </row>
    <row r="6" spans="1:7" ht="15.75">
      <c r="A6" s="12"/>
      <c r="B6" s="13"/>
      <c r="C6" s="20" t="s">
        <v>1311</v>
      </c>
      <c r="D6" s="538" t="s">
        <v>118</v>
      </c>
      <c r="E6" s="539"/>
      <c r="F6" s="539"/>
      <c r="G6" s="540"/>
    </row>
    <row r="7" spans="1:7" ht="15.75">
      <c r="A7" s="12"/>
      <c r="B7" s="13"/>
      <c r="C7" s="226" t="s">
        <v>1050</v>
      </c>
      <c r="D7" s="538" t="s">
        <v>53</v>
      </c>
      <c r="E7" s="539"/>
      <c r="F7" s="539"/>
      <c r="G7" s="540"/>
    </row>
    <row r="8" spans="1:7" ht="15.75">
      <c r="A8" s="21"/>
      <c r="B8" s="22"/>
      <c r="C8" s="23"/>
      <c r="D8" s="541" t="s">
        <v>339</v>
      </c>
      <c r="E8" s="542"/>
      <c r="F8" s="542"/>
      <c r="G8" s="543"/>
    </row>
    <row r="9" spans="1:7" ht="15">
      <c r="A9" s="550" t="s">
        <v>46</v>
      </c>
      <c r="B9" s="551"/>
      <c r="C9" s="551"/>
      <c r="D9" s="551"/>
      <c r="E9" s="551"/>
      <c r="F9" s="551"/>
      <c r="G9" s="551"/>
    </row>
    <row r="10" spans="1:7" ht="15.75">
      <c r="A10" s="552" t="s">
        <v>47</v>
      </c>
      <c r="B10" s="554" t="s">
        <v>48</v>
      </c>
      <c r="C10" s="556" t="s">
        <v>49</v>
      </c>
      <c r="D10" s="552" t="s">
        <v>14</v>
      </c>
      <c r="E10" s="557" t="s">
        <v>50</v>
      </c>
      <c r="F10" s="557" t="s">
        <v>51</v>
      </c>
      <c r="G10" s="557"/>
    </row>
    <row r="11" spans="1:7" ht="15.75">
      <c r="A11" s="553"/>
      <c r="B11" s="555"/>
      <c r="C11" s="554"/>
      <c r="D11" s="553"/>
      <c r="E11" s="558"/>
      <c r="F11" s="24" t="s">
        <v>52</v>
      </c>
      <c r="G11" s="25" t="s">
        <v>7</v>
      </c>
    </row>
    <row r="12" spans="1:7" s="117" customFormat="1" ht="15.75">
      <c r="A12" s="124" t="s">
        <v>32</v>
      </c>
      <c r="B12" s="124"/>
      <c r="C12" s="125" t="s">
        <v>33</v>
      </c>
      <c r="D12" s="124"/>
      <c r="E12" s="124"/>
      <c r="F12" s="124"/>
      <c r="G12" s="126"/>
    </row>
    <row r="13" spans="1:8" ht="30">
      <c r="A13" s="54" t="s">
        <v>8</v>
      </c>
      <c r="B13" s="54" t="s">
        <v>1007</v>
      </c>
      <c r="C13" s="56" t="s">
        <v>495</v>
      </c>
      <c r="D13" s="54" t="s">
        <v>0</v>
      </c>
      <c r="E13" s="280">
        <v>12</v>
      </c>
      <c r="F13" s="119">
        <f>ROUND(F23,2)-0.03</f>
        <v>314.13000000000005</v>
      </c>
      <c r="G13" s="35">
        <f>ROUND((E13*F13),2)</f>
        <v>3769.56</v>
      </c>
      <c r="H13" s="156" t="s">
        <v>154</v>
      </c>
    </row>
    <row r="14" spans="1:7" ht="15.75">
      <c r="A14" s="57" t="s">
        <v>151</v>
      </c>
      <c r="B14" s="58" t="s">
        <v>1312</v>
      </c>
      <c r="C14" s="59" t="s">
        <v>1313</v>
      </c>
      <c r="D14" s="58" t="s">
        <v>0</v>
      </c>
      <c r="E14" s="58">
        <v>1</v>
      </c>
      <c r="F14" s="114">
        <f>G22</f>
        <v>446.51</v>
      </c>
      <c r="G14" s="60">
        <f>ROUND(E14*F14,2)</f>
        <v>446.51</v>
      </c>
    </row>
    <row r="15" spans="1:7" ht="15.75">
      <c r="A15" s="106"/>
      <c r="B15" s="104" t="s">
        <v>1051</v>
      </c>
      <c r="C15" s="105" t="s">
        <v>1052</v>
      </c>
      <c r="D15" s="104" t="s">
        <v>5</v>
      </c>
      <c r="E15" s="104">
        <v>0.11</v>
      </c>
      <c r="F15" s="104">
        <f>ROUND(9.66,2)</f>
        <v>9.66</v>
      </c>
      <c r="G15" s="107">
        <f>ROUND(E15*F15,2)</f>
        <v>1.06</v>
      </c>
    </row>
    <row r="16" spans="1:7" ht="30">
      <c r="A16" s="106"/>
      <c r="B16" s="104" t="s">
        <v>1053</v>
      </c>
      <c r="C16" s="105" t="s">
        <v>1054</v>
      </c>
      <c r="D16" s="104" t="s">
        <v>0</v>
      </c>
      <c r="E16" s="104">
        <v>1</v>
      </c>
      <c r="F16" s="104">
        <f>ROUND(360,2)</f>
        <v>360</v>
      </c>
      <c r="G16" s="107">
        <f>ROUND(E16*F16,2)</f>
        <v>360</v>
      </c>
    </row>
    <row r="17" spans="1:7" ht="30">
      <c r="A17" s="106"/>
      <c r="B17" s="104" t="s">
        <v>1055</v>
      </c>
      <c r="C17" s="105" t="s">
        <v>1314</v>
      </c>
      <c r="D17" s="104" t="s">
        <v>3</v>
      </c>
      <c r="E17" s="104">
        <v>4</v>
      </c>
      <c r="F17" s="104">
        <f>ROUND(4.05,2)</f>
        <v>4.05</v>
      </c>
      <c r="G17" s="107">
        <f>ROUND(E17*F17,2)</f>
        <v>16.2</v>
      </c>
    </row>
    <row r="18" spans="1:7" ht="30">
      <c r="A18" s="106"/>
      <c r="B18" s="104" t="s">
        <v>1056</v>
      </c>
      <c r="C18" s="105" t="s">
        <v>1057</v>
      </c>
      <c r="D18" s="104" t="s">
        <v>3</v>
      </c>
      <c r="E18" s="104">
        <v>1</v>
      </c>
      <c r="F18" s="104">
        <f>ROUND(4.21,2)</f>
        <v>4.21</v>
      </c>
      <c r="G18" s="107">
        <f>ROUND(E18*F18,2)</f>
        <v>4.21</v>
      </c>
    </row>
    <row r="19" spans="1:7" ht="15.75">
      <c r="A19" s="106"/>
      <c r="B19" s="104" t="s">
        <v>119</v>
      </c>
      <c r="C19" s="105" t="s">
        <v>120</v>
      </c>
      <c r="D19" s="104" t="s">
        <v>6</v>
      </c>
      <c r="E19" s="104">
        <v>2</v>
      </c>
      <c r="F19" s="104">
        <f>ROUND(19.32,2)</f>
        <v>19.32</v>
      </c>
      <c r="G19" s="107">
        <f>ROUND(E19*F19,2)</f>
        <v>38.64</v>
      </c>
    </row>
    <row r="20" spans="1:7" ht="15.75">
      <c r="A20" s="106"/>
      <c r="B20" s="104" t="s">
        <v>1058</v>
      </c>
      <c r="C20" s="105" t="s">
        <v>1059</v>
      </c>
      <c r="D20" s="104" t="s">
        <v>6</v>
      </c>
      <c r="E20" s="104">
        <v>1</v>
      </c>
      <c r="F20" s="104">
        <f>ROUND(23.93,2)</f>
        <v>23.93</v>
      </c>
      <c r="G20" s="107">
        <f>ROUND(E20*F20,2)</f>
        <v>23.93</v>
      </c>
    </row>
    <row r="21" spans="1:7" ht="30">
      <c r="A21" s="106"/>
      <c r="B21" s="104" t="s">
        <v>1060</v>
      </c>
      <c r="C21" s="105" t="s">
        <v>1061</v>
      </c>
      <c r="D21" s="104" t="s">
        <v>1</v>
      </c>
      <c r="E21" s="104">
        <v>0.01</v>
      </c>
      <c r="F21" s="104">
        <f>ROUND(247.23,2)</f>
        <v>247.23</v>
      </c>
      <c r="G21" s="107">
        <f>ROUND(E21*F21,2)</f>
        <v>2.47</v>
      </c>
    </row>
    <row r="22" spans="1:7" ht="15.75">
      <c r="A22" s="106"/>
      <c r="B22" s="104"/>
      <c r="C22" s="105"/>
      <c r="D22" s="104"/>
      <c r="E22" s="104" t="s">
        <v>7</v>
      </c>
      <c r="F22" s="104"/>
      <c r="G22" s="107">
        <f>ROUND(SUM(G15:G21),2)</f>
        <v>446.51</v>
      </c>
    </row>
    <row r="23" spans="1:7" s="132" customFormat="1" ht="45">
      <c r="A23" s="137" t="s">
        <v>151</v>
      </c>
      <c r="B23" s="138" t="s">
        <v>592</v>
      </c>
      <c r="C23" s="139" t="s">
        <v>1310</v>
      </c>
      <c r="D23" s="138" t="s">
        <v>0</v>
      </c>
      <c r="E23" s="138">
        <v>1</v>
      </c>
      <c r="F23" s="465">
        <f>G32</f>
        <v>314.16</v>
      </c>
      <c r="G23" s="107">
        <f>ROUND(E23*F23,2)</f>
        <v>314.16</v>
      </c>
    </row>
    <row r="24" spans="1:7" s="132" customFormat="1" ht="30">
      <c r="A24" s="137"/>
      <c r="B24" s="138" t="s">
        <v>4</v>
      </c>
      <c r="C24" s="139" t="s">
        <v>593</v>
      </c>
      <c r="D24" s="138" t="s">
        <v>5</v>
      </c>
      <c r="E24" s="138">
        <v>0.3</v>
      </c>
      <c r="F24" s="143">
        <f>ROUND(8.39,2)</f>
        <v>8.39</v>
      </c>
      <c r="G24" s="107">
        <f>ROUND(E24*F24,2)</f>
        <v>2.52</v>
      </c>
    </row>
    <row r="25" spans="1:7" s="132" customFormat="1" ht="15.75">
      <c r="A25" s="137"/>
      <c r="B25" s="138" t="s">
        <v>2</v>
      </c>
      <c r="C25" s="139" t="s">
        <v>594</v>
      </c>
      <c r="D25" s="138" t="s">
        <v>3</v>
      </c>
      <c r="E25" s="138">
        <v>9.2</v>
      </c>
      <c r="F25" s="143">
        <f>ROUND(3.25,2)</f>
        <v>3.25</v>
      </c>
      <c r="G25" s="107">
        <f>ROUND(E25*F25,2)</f>
        <v>29.9</v>
      </c>
    </row>
    <row r="26" spans="1:7" s="132" customFormat="1" ht="15.75">
      <c r="A26" s="137"/>
      <c r="B26" s="138" t="s">
        <v>149</v>
      </c>
      <c r="C26" s="139" t="s">
        <v>595</v>
      </c>
      <c r="D26" s="138" t="s">
        <v>113</v>
      </c>
      <c r="E26" s="138">
        <v>0.2</v>
      </c>
      <c r="F26" s="143">
        <f>ROUND(61.96,2)</f>
        <v>61.96</v>
      </c>
      <c r="G26" s="107">
        <f>ROUND(E26*F26,2)</f>
        <v>12.39</v>
      </c>
    </row>
    <row r="27" spans="1:7" s="132" customFormat="1" ht="30">
      <c r="A27" s="137"/>
      <c r="B27" s="138" t="s">
        <v>150</v>
      </c>
      <c r="C27" s="139" t="s">
        <v>596</v>
      </c>
      <c r="D27" s="138" t="s">
        <v>5</v>
      </c>
      <c r="E27" s="138">
        <v>5</v>
      </c>
      <c r="F27" s="143">
        <f>ROUND(7.371,2)</f>
        <v>7.37</v>
      </c>
      <c r="G27" s="107">
        <f>ROUND(E27*F27,2)</f>
        <v>36.85</v>
      </c>
    </row>
    <row r="28" spans="1:7" s="132" customFormat="1" ht="30">
      <c r="A28" s="137"/>
      <c r="B28" s="138" t="s">
        <v>597</v>
      </c>
      <c r="C28" s="139" t="s">
        <v>598</v>
      </c>
      <c r="D28" s="138" t="s">
        <v>6</v>
      </c>
      <c r="E28" s="138">
        <v>2.06</v>
      </c>
      <c r="F28" s="143">
        <f>ROUND(12.54,2)</f>
        <v>12.54</v>
      </c>
      <c r="G28" s="107">
        <f>ROUND(E28*F28,2)</f>
        <v>25.83</v>
      </c>
    </row>
    <row r="29" spans="1:7" s="132" customFormat="1" ht="15.75">
      <c r="A29" s="137"/>
      <c r="B29" s="138" t="s">
        <v>599</v>
      </c>
      <c r="C29" s="139" t="s">
        <v>600</v>
      </c>
      <c r="D29" s="138" t="s">
        <v>6</v>
      </c>
      <c r="E29" s="138">
        <v>4.12</v>
      </c>
      <c r="F29" s="143">
        <f>ROUND(17.3,2)</f>
        <v>17.3</v>
      </c>
      <c r="G29" s="107">
        <f>ROUND(E29*F29,2)</f>
        <v>71.28</v>
      </c>
    </row>
    <row r="30" spans="1:7" s="132" customFormat="1" ht="30">
      <c r="A30" s="137"/>
      <c r="B30" s="138" t="s">
        <v>601</v>
      </c>
      <c r="C30" s="139" t="s">
        <v>602</v>
      </c>
      <c r="D30" s="138" t="s">
        <v>6</v>
      </c>
      <c r="E30" s="138">
        <v>2.06</v>
      </c>
      <c r="F30" s="143">
        <f>ROUND(18.63,2)</f>
        <v>18.63</v>
      </c>
      <c r="G30" s="107">
        <f>ROUND(E30*F30,2)</f>
        <v>38.38</v>
      </c>
    </row>
    <row r="31" spans="1:7" s="132" customFormat="1" ht="15.75">
      <c r="A31" s="137"/>
      <c r="B31" s="138" t="s">
        <v>603</v>
      </c>
      <c r="C31" s="139" t="s">
        <v>604</v>
      </c>
      <c r="D31" s="138" t="s">
        <v>6</v>
      </c>
      <c r="E31" s="138">
        <v>1</v>
      </c>
      <c r="F31" s="143">
        <f>ROUND(97.0144,2)</f>
        <v>97.01</v>
      </c>
      <c r="G31" s="107">
        <f>ROUND(E31*F31,2)</f>
        <v>97.01</v>
      </c>
    </row>
    <row r="32" spans="1:7" s="132" customFormat="1" ht="15.75">
      <c r="A32" s="137"/>
      <c r="B32" s="138"/>
      <c r="C32" s="139"/>
      <c r="D32" s="138"/>
      <c r="E32" s="138" t="s">
        <v>7</v>
      </c>
      <c r="F32" s="163"/>
      <c r="G32" s="107">
        <f>ROUND(SUM(G24:G31),2)</f>
        <v>314.16</v>
      </c>
    </row>
    <row r="33" spans="1:7" ht="75">
      <c r="A33" s="26" t="s">
        <v>9</v>
      </c>
      <c r="B33" s="26" t="s">
        <v>345</v>
      </c>
      <c r="C33" s="27" t="s">
        <v>496</v>
      </c>
      <c r="D33" s="26" t="s">
        <v>0</v>
      </c>
      <c r="E33" s="223">
        <v>10</v>
      </c>
      <c r="F33" s="120">
        <f>ROUND(F34,2)-0.42</f>
        <v>355.25</v>
      </c>
      <c r="G33" s="28">
        <f>ROUND((E33*F33),2)</f>
        <v>3552.5</v>
      </c>
    </row>
    <row r="34" spans="1:7" ht="105">
      <c r="A34" s="106"/>
      <c r="B34" s="104" t="s">
        <v>605</v>
      </c>
      <c r="C34" s="105" t="s">
        <v>1315</v>
      </c>
      <c r="D34" s="104" t="s">
        <v>0</v>
      </c>
      <c r="E34" s="104">
        <v>1</v>
      </c>
      <c r="F34" s="155">
        <f>G111</f>
        <v>355.67</v>
      </c>
      <c r="G34" s="107">
        <f>ROUND(E34*F34,2)</f>
        <v>355.67</v>
      </c>
    </row>
    <row r="35" spans="1:7" ht="15.75">
      <c r="A35" s="106"/>
      <c r="B35" s="104" t="s">
        <v>227</v>
      </c>
      <c r="C35" s="105" t="s">
        <v>606</v>
      </c>
      <c r="D35" s="104" t="s">
        <v>14</v>
      </c>
      <c r="E35" s="104">
        <v>0.072</v>
      </c>
      <c r="F35" s="155">
        <f>ROUND(43.83,2)</f>
        <v>43.83</v>
      </c>
      <c r="G35" s="107">
        <f>ROUND(E35*F35,2)</f>
        <v>3.16</v>
      </c>
    </row>
    <row r="36" spans="1:7" ht="15.75">
      <c r="A36" s="106"/>
      <c r="B36" s="104" t="s">
        <v>382</v>
      </c>
      <c r="C36" s="105" t="s">
        <v>607</v>
      </c>
      <c r="D36" s="104" t="s">
        <v>14</v>
      </c>
      <c r="E36" s="104">
        <v>0.0144</v>
      </c>
      <c r="F36" s="155">
        <f>ROUND(5.75,2)</f>
        <v>5.75</v>
      </c>
      <c r="G36" s="107">
        <f>ROUND(E36*F36,2)</f>
        <v>0.08</v>
      </c>
    </row>
    <row r="37" spans="1:7" ht="15.75">
      <c r="A37" s="106"/>
      <c r="B37" s="104" t="s">
        <v>347</v>
      </c>
      <c r="C37" s="105" t="s">
        <v>608</v>
      </c>
      <c r="D37" s="104" t="s">
        <v>14</v>
      </c>
      <c r="E37" s="104">
        <v>0.0288</v>
      </c>
      <c r="F37" s="155">
        <f>ROUND(3.27,2)</f>
        <v>3.27</v>
      </c>
      <c r="G37" s="107">
        <f>ROUND(E37*F37,2)</f>
        <v>0.09</v>
      </c>
    </row>
    <row r="38" spans="1:7" ht="15.75">
      <c r="A38" s="106"/>
      <c r="B38" s="104" t="s">
        <v>78</v>
      </c>
      <c r="C38" s="105" t="s">
        <v>609</v>
      </c>
      <c r="D38" s="104" t="s">
        <v>14</v>
      </c>
      <c r="E38" s="104">
        <v>0.0547</v>
      </c>
      <c r="F38" s="155">
        <f>ROUND(19.9,2)</f>
        <v>19.9</v>
      </c>
      <c r="G38" s="107">
        <f>ROUND(E38*F38,2)</f>
        <v>1.09</v>
      </c>
    </row>
    <row r="39" spans="1:7" ht="15.75">
      <c r="A39" s="106"/>
      <c r="B39" s="104" t="s">
        <v>354</v>
      </c>
      <c r="C39" s="105" t="s">
        <v>610</v>
      </c>
      <c r="D39" s="104" t="s">
        <v>14</v>
      </c>
      <c r="E39" s="104">
        <v>0.0057</v>
      </c>
      <c r="F39" s="155">
        <f>ROUND(5.26,2)</f>
        <v>5.26</v>
      </c>
      <c r="G39" s="107">
        <f>ROUND(E39*F39,2)</f>
        <v>0.03</v>
      </c>
    </row>
    <row r="40" spans="1:7" ht="30">
      <c r="A40" s="106"/>
      <c r="B40" s="104" t="s">
        <v>349</v>
      </c>
      <c r="C40" s="105" t="s">
        <v>611</v>
      </c>
      <c r="D40" s="104" t="s">
        <v>14</v>
      </c>
      <c r="E40" s="104">
        <v>0.0096</v>
      </c>
      <c r="F40" s="155">
        <f>ROUND(27.96,2)</f>
        <v>27.96</v>
      </c>
      <c r="G40" s="107">
        <f>ROUND(E40*F40,2)</f>
        <v>0.27</v>
      </c>
    </row>
    <row r="41" spans="1:7" ht="30">
      <c r="A41" s="106"/>
      <c r="B41" s="104" t="s">
        <v>346</v>
      </c>
      <c r="C41" s="105" t="s">
        <v>612</v>
      </c>
      <c r="D41" s="104" t="s">
        <v>14</v>
      </c>
      <c r="E41" s="104">
        <v>0.018</v>
      </c>
      <c r="F41" s="155">
        <f>ROUND(41.26,2)</f>
        <v>41.26</v>
      </c>
      <c r="G41" s="107">
        <f>ROUND(E41*F41,2)</f>
        <v>0.74</v>
      </c>
    </row>
    <row r="42" spans="1:7" ht="30">
      <c r="A42" s="106"/>
      <c r="B42" s="104" t="s">
        <v>365</v>
      </c>
      <c r="C42" s="105" t="s">
        <v>613</v>
      </c>
      <c r="D42" s="104" t="s">
        <v>14</v>
      </c>
      <c r="E42" s="104">
        <v>0.0048</v>
      </c>
      <c r="F42" s="155">
        <f>ROUND(78.27,2)</f>
        <v>78.27</v>
      </c>
      <c r="G42" s="107">
        <f>ROUND(E42*F42,2)</f>
        <v>0.38</v>
      </c>
    </row>
    <row r="43" spans="1:7" ht="15.75">
      <c r="A43" s="106"/>
      <c r="B43" s="104" t="s">
        <v>76</v>
      </c>
      <c r="C43" s="105" t="s">
        <v>614</v>
      </c>
      <c r="D43" s="104" t="s">
        <v>3</v>
      </c>
      <c r="E43" s="104">
        <v>0.625695</v>
      </c>
      <c r="F43" s="155">
        <f>ROUND(1.9094,2)</f>
        <v>1.91</v>
      </c>
      <c r="G43" s="107">
        <f>ROUND(E43*F43,2)</f>
        <v>1.2</v>
      </c>
    </row>
    <row r="44" spans="1:7" ht="15.75">
      <c r="A44" s="106"/>
      <c r="B44" s="104" t="s">
        <v>362</v>
      </c>
      <c r="C44" s="105" t="s">
        <v>615</v>
      </c>
      <c r="D44" s="104" t="s">
        <v>14</v>
      </c>
      <c r="E44" s="104">
        <v>0.0864</v>
      </c>
      <c r="F44" s="155">
        <f>ROUND(42.23,2)</f>
        <v>42.23</v>
      </c>
      <c r="G44" s="107">
        <f>ROUND(E44*F44,2)</f>
        <v>3.65</v>
      </c>
    </row>
    <row r="45" spans="1:7" ht="15.75">
      <c r="A45" s="106"/>
      <c r="B45" s="104" t="s">
        <v>75</v>
      </c>
      <c r="C45" s="105" t="s">
        <v>616</v>
      </c>
      <c r="D45" s="104" t="s">
        <v>14</v>
      </c>
      <c r="E45" s="104">
        <v>0.005757</v>
      </c>
      <c r="F45" s="155">
        <f>ROUND(5.64,2)</f>
        <v>5.64</v>
      </c>
      <c r="G45" s="107">
        <f>ROUND(E45*F45,2)</f>
        <v>0.03</v>
      </c>
    </row>
    <row r="46" spans="1:7" ht="15.75">
      <c r="A46" s="106"/>
      <c r="B46" s="104" t="s">
        <v>352</v>
      </c>
      <c r="C46" s="105" t="s">
        <v>617</v>
      </c>
      <c r="D46" s="104" t="s">
        <v>14</v>
      </c>
      <c r="E46" s="104">
        <v>0.0057</v>
      </c>
      <c r="F46" s="155">
        <f>ROUND(6.9,2)</f>
        <v>6.9</v>
      </c>
      <c r="G46" s="107">
        <f>ROUND(E46*F46,2)</f>
        <v>0.04</v>
      </c>
    </row>
    <row r="47" spans="1:7" ht="15.75">
      <c r="A47" s="106"/>
      <c r="B47" s="104" t="s">
        <v>353</v>
      </c>
      <c r="C47" s="105" t="s">
        <v>618</v>
      </c>
      <c r="D47" s="104" t="s">
        <v>14</v>
      </c>
      <c r="E47" s="104">
        <v>0.0576</v>
      </c>
      <c r="F47" s="155">
        <f>ROUND(1.5,2)</f>
        <v>1.5</v>
      </c>
      <c r="G47" s="107">
        <f>ROUND(E47*F47,2)</f>
        <v>0.09</v>
      </c>
    </row>
    <row r="48" spans="1:7" ht="15.75">
      <c r="A48" s="106"/>
      <c r="B48" s="104" t="s">
        <v>348</v>
      </c>
      <c r="C48" s="105" t="s">
        <v>619</v>
      </c>
      <c r="D48" s="104" t="s">
        <v>14</v>
      </c>
      <c r="E48" s="104">
        <v>0.0144</v>
      </c>
      <c r="F48" s="155">
        <f>ROUND(2.29,2)</f>
        <v>2.29</v>
      </c>
      <c r="G48" s="107">
        <f>ROUND(E48*F48,2)</f>
        <v>0.03</v>
      </c>
    </row>
    <row r="49" spans="1:7" ht="15.75">
      <c r="A49" s="106"/>
      <c r="B49" s="104" t="s">
        <v>370</v>
      </c>
      <c r="C49" s="105" t="s">
        <v>620</v>
      </c>
      <c r="D49" s="104" t="s">
        <v>14</v>
      </c>
      <c r="E49" s="104">
        <v>0.0144</v>
      </c>
      <c r="F49" s="155">
        <f>ROUND(3.83,2)</f>
        <v>3.83</v>
      </c>
      <c r="G49" s="107">
        <f>ROUND(E49*F49,2)</f>
        <v>0.06</v>
      </c>
    </row>
    <row r="50" spans="1:7" ht="15.75">
      <c r="A50" s="106"/>
      <c r="B50" s="104" t="s">
        <v>379</v>
      </c>
      <c r="C50" s="105" t="s">
        <v>621</v>
      </c>
      <c r="D50" s="104" t="s">
        <v>14</v>
      </c>
      <c r="E50" s="104">
        <v>0.0288</v>
      </c>
      <c r="F50" s="155">
        <f>ROUND(0.61,2)</f>
        <v>0.61</v>
      </c>
      <c r="G50" s="107">
        <f>ROUND(E50*F50,2)</f>
        <v>0.02</v>
      </c>
    </row>
    <row r="51" spans="1:7" ht="15.75">
      <c r="A51" s="106"/>
      <c r="B51" s="104" t="s">
        <v>380</v>
      </c>
      <c r="C51" s="105" t="s">
        <v>622</v>
      </c>
      <c r="D51" s="104" t="s">
        <v>14</v>
      </c>
      <c r="E51" s="104">
        <v>0.0288</v>
      </c>
      <c r="F51" s="155">
        <f>ROUND(2.41,2)</f>
        <v>2.41</v>
      </c>
      <c r="G51" s="107">
        <f>ROUND(E51*F51,2)</f>
        <v>0.07</v>
      </c>
    </row>
    <row r="52" spans="1:7" ht="30">
      <c r="A52" s="106"/>
      <c r="B52" s="104" t="s">
        <v>135</v>
      </c>
      <c r="C52" s="105" t="s">
        <v>623</v>
      </c>
      <c r="D52" s="104" t="s">
        <v>5</v>
      </c>
      <c r="E52" s="104">
        <v>0.41208</v>
      </c>
      <c r="F52" s="155">
        <f>ROUND(4.85,2)</f>
        <v>4.85</v>
      </c>
      <c r="G52" s="107">
        <f>ROUND(E52*F52,2)</f>
        <v>2</v>
      </c>
    </row>
    <row r="53" spans="1:7" ht="30">
      <c r="A53" s="106"/>
      <c r="B53" s="104" t="s">
        <v>351</v>
      </c>
      <c r="C53" s="105" t="s">
        <v>624</v>
      </c>
      <c r="D53" s="104" t="s">
        <v>14</v>
      </c>
      <c r="E53" s="104">
        <v>0.0288</v>
      </c>
      <c r="F53" s="155">
        <f>ROUND(16.69,2)</f>
        <v>16.69</v>
      </c>
      <c r="G53" s="107">
        <f>ROUND(E53*F53,2)</f>
        <v>0.48</v>
      </c>
    </row>
    <row r="54" spans="1:7" ht="30">
      <c r="A54" s="106"/>
      <c r="B54" s="104" t="s">
        <v>86</v>
      </c>
      <c r="C54" s="105" t="s">
        <v>625</v>
      </c>
      <c r="D54" s="104" t="s">
        <v>14</v>
      </c>
      <c r="E54" s="104">
        <v>0.0028</v>
      </c>
      <c r="F54" s="155">
        <f>ROUND(21.9,2)</f>
        <v>21.9</v>
      </c>
      <c r="G54" s="107">
        <f>ROUND(E54*F54,2)</f>
        <v>0.06</v>
      </c>
    </row>
    <row r="55" spans="1:7" ht="15.75">
      <c r="A55" s="106"/>
      <c r="B55" s="104" t="s">
        <v>72</v>
      </c>
      <c r="C55" s="105" t="s">
        <v>626</v>
      </c>
      <c r="D55" s="104" t="s">
        <v>14</v>
      </c>
      <c r="E55" s="104">
        <v>0.214</v>
      </c>
      <c r="F55" s="155">
        <f>ROUND(1.01,2)</f>
        <v>1.01</v>
      </c>
      <c r="G55" s="107">
        <f>ROUND(E55*F55,2)</f>
        <v>0.22</v>
      </c>
    </row>
    <row r="56" spans="1:7" ht="15.75">
      <c r="A56" s="106"/>
      <c r="B56" s="104" t="s">
        <v>122</v>
      </c>
      <c r="C56" s="105" t="s">
        <v>627</v>
      </c>
      <c r="D56" s="104" t="s">
        <v>3</v>
      </c>
      <c r="E56" s="104">
        <v>0.31</v>
      </c>
      <c r="F56" s="155">
        <f>ROUND(4.3636,2)</f>
        <v>4.36</v>
      </c>
      <c r="G56" s="107">
        <f>ROUND(E56*F56,2)</f>
        <v>1.35</v>
      </c>
    </row>
    <row r="57" spans="1:7" ht="15.75">
      <c r="A57" s="106"/>
      <c r="B57" s="104" t="s">
        <v>2</v>
      </c>
      <c r="C57" s="105" t="s">
        <v>594</v>
      </c>
      <c r="D57" s="104" t="s">
        <v>3</v>
      </c>
      <c r="E57" s="104">
        <v>0.885</v>
      </c>
      <c r="F57" s="155">
        <f>ROUND(3.25,2)</f>
        <v>3.25</v>
      </c>
      <c r="G57" s="107">
        <f>ROUND(E57*F57,2)</f>
        <v>2.88</v>
      </c>
    </row>
    <row r="58" spans="1:7" ht="30">
      <c r="A58" s="106"/>
      <c r="B58" s="104" t="s">
        <v>4</v>
      </c>
      <c r="C58" s="105" t="s">
        <v>593</v>
      </c>
      <c r="D58" s="104" t="s">
        <v>5</v>
      </c>
      <c r="E58" s="104">
        <v>0.1</v>
      </c>
      <c r="F58" s="155">
        <f>ROUND(8.39,2)</f>
        <v>8.39</v>
      </c>
      <c r="G58" s="107">
        <f>ROUND(E58*F58,2)</f>
        <v>0.84</v>
      </c>
    </row>
    <row r="59" spans="1:7" ht="15.75">
      <c r="A59" s="106"/>
      <c r="B59" s="104" t="s">
        <v>73</v>
      </c>
      <c r="C59" s="105" t="s">
        <v>628</v>
      </c>
      <c r="D59" s="104" t="s">
        <v>14</v>
      </c>
      <c r="E59" s="104">
        <v>0.055247</v>
      </c>
      <c r="F59" s="155">
        <f>ROUND(2.2,2)</f>
        <v>2.2</v>
      </c>
      <c r="G59" s="107">
        <f>ROUND(E59*F59,2)</f>
        <v>0.12</v>
      </c>
    </row>
    <row r="60" spans="1:7" ht="15.75">
      <c r="A60" s="106"/>
      <c r="B60" s="104" t="s">
        <v>74</v>
      </c>
      <c r="C60" s="105" t="s">
        <v>629</v>
      </c>
      <c r="D60" s="104" t="s">
        <v>0</v>
      </c>
      <c r="E60" s="104">
        <v>0.023</v>
      </c>
      <c r="F60" s="155">
        <f>ROUND(38,2)</f>
        <v>38</v>
      </c>
      <c r="G60" s="107">
        <f>ROUND(E60*F60,2)</f>
        <v>0.87</v>
      </c>
    </row>
    <row r="61" spans="1:7" ht="15.75">
      <c r="A61" s="106"/>
      <c r="B61" s="104" t="s">
        <v>363</v>
      </c>
      <c r="C61" s="105" t="s">
        <v>630</v>
      </c>
      <c r="D61" s="104" t="s">
        <v>14</v>
      </c>
      <c r="E61" s="104">
        <v>0.0288</v>
      </c>
      <c r="F61" s="155">
        <f>ROUND(0.83,2)</f>
        <v>0.83</v>
      </c>
      <c r="G61" s="107">
        <f>ROUND(E61*F61,2)</f>
        <v>0.02</v>
      </c>
    </row>
    <row r="62" spans="1:7" ht="15.75">
      <c r="A62" s="106"/>
      <c r="B62" s="104" t="s">
        <v>77</v>
      </c>
      <c r="C62" s="105" t="s">
        <v>631</v>
      </c>
      <c r="D62" s="104" t="s">
        <v>14</v>
      </c>
      <c r="E62" s="104">
        <v>0.0303</v>
      </c>
      <c r="F62" s="155">
        <f>ROUND(8.56,2)</f>
        <v>8.56</v>
      </c>
      <c r="G62" s="107">
        <f>ROUND(E62*F62,2)</f>
        <v>0.26</v>
      </c>
    </row>
    <row r="63" spans="1:7" ht="30">
      <c r="A63" s="106"/>
      <c r="B63" s="104" t="s">
        <v>355</v>
      </c>
      <c r="C63" s="105" t="s">
        <v>632</v>
      </c>
      <c r="D63" s="104" t="s">
        <v>14</v>
      </c>
      <c r="E63" s="104">
        <v>0.0057</v>
      </c>
      <c r="F63" s="155">
        <f>ROUND(15.65,2)</f>
        <v>15.65</v>
      </c>
      <c r="G63" s="107">
        <f>ROUND(E63*F63,2)</f>
        <v>0.09</v>
      </c>
    </row>
    <row r="64" spans="1:7" ht="15.75">
      <c r="A64" s="106"/>
      <c r="B64" s="104" t="s">
        <v>383</v>
      </c>
      <c r="C64" s="105" t="s">
        <v>633</v>
      </c>
      <c r="D64" s="104" t="s">
        <v>14</v>
      </c>
      <c r="E64" s="104">
        <v>0.0432</v>
      </c>
      <c r="F64" s="155">
        <f>ROUND(13.98,2)</f>
        <v>13.98</v>
      </c>
      <c r="G64" s="107">
        <f>ROUND(E64*F64,2)</f>
        <v>0.6</v>
      </c>
    </row>
    <row r="65" spans="1:7" ht="30">
      <c r="A65" s="106"/>
      <c r="B65" s="104" t="s">
        <v>359</v>
      </c>
      <c r="C65" s="105" t="s">
        <v>634</v>
      </c>
      <c r="D65" s="104" t="s">
        <v>14</v>
      </c>
      <c r="E65" s="104">
        <v>0.0028</v>
      </c>
      <c r="F65" s="155">
        <f>ROUND(31.8,2)</f>
        <v>31.8</v>
      </c>
      <c r="G65" s="107">
        <f>ROUND(E65*F65,2)</f>
        <v>0.09</v>
      </c>
    </row>
    <row r="66" spans="1:7" ht="15.75">
      <c r="A66" s="106"/>
      <c r="B66" s="104" t="s">
        <v>360</v>
      </c>
      <c r="C66" s="105" t="s">
        <v>635</v>
      </c>
      <c r="D66" s="104" t="s">
        <v>14</v>
      </c>
      <c r="E66" s="104">
        <v>0.0144</v>
      </c>
      <c r="F66" s="155">
        <f>ROUND(69,2)</f>
        <v>69</v>
      </c>
      <c r="G66" s="107">
        <f>ROUND(E66*F66,2)</f>
        <v>0.99</v>
      </c>
    </row>
    <row r="67" spans="1:7" ht="15.75">
      <c r="A67" s="106"/>
      <c r="B67" s="104" t="s">
        <v>361</v>
      </c>
      <c r="C67" s="105" t="s">
        <v>636</v>
      </c>
      <c r="D67" s="104" t="s">
        <v>14</v>
      </c>
      <c r="E67" s="104">
        <v>0.0144</v>
      </c>
      <c r="F67" s="155">
        <f>ROUND(65,2)</f>
        <v>65</v>
      </c>
      <c r="G67" s="107">
        <f>ROUND(E67*F67,2)</f>
        <v>0.94</v>
      </c>
    </row>
    <row r="68" spans="1:7" ht="15.75">
      <c r="A68" s="106"/>
      <c r="B68" s="104" t="s">
        <v>87</v>
      </c>
      <c r="C68" s="105" t="s">
        <v>637</v>
      </c>
      <c r="D68" s="104" t="s">
        <v>14</v>
      </c>
      <c r="E68" s="104">
        <v>0.0028</v>
      </c>
      <c r="F68" s="155">
        <f>ROUND(234.78,2)</f>
        <v>234.78</v>
      </c>
      <c r="G68" s="107">
        <f>ROUND(E68*F68,2)</f>
        <v>0.66</v>
      </c>
    </row>
    <row r="69" spans="1:7" ht="15.75">
      <c r="A69" s="106"/>
      <c r="B69" s="104" t="s">
        <v>350</v>
      </c>
      <c r="C69" s="105" t="s">
        <v>638</v>
      </c>
      <c r="D69" s="104" t="s">
        <v>3</v>
      </c>
      <c r="E69" s="104">
        <v>0.78</v>
      </c>
      <c r="F69" s="155">
        <f>ROUND(6.6732,2)</f>
        <v>6.67</v>
      </c>
      <c r="G69" s="107">
        <f>ROUND(E69*F69,2)</f>
        <v>5.2</v>
      </c>
    </row>
    <row r="70" spans="1:7" ht="15.75">
      <c r="A70" s="106"/>
      <c r="B70" s="104" t="s">
        <v>358</v>
      </c>
      <c r="C70" s="105" t="s">
        <v>639</v>
      </c>
      <c r="D70" s="104" t="s">
        <v>14</v>
      </c>
      <c r="E70" s="104">
        <v>0.0144</v>
      </c>
      <c r="F70" s="155">
        <f>ROUND(1.18,2)</f>
        <v>1.18</v>
      </c>
      <c r="G70" s="107">
        <f>ROUND(E70*F70,2)</f>
        <v>0.02</v>
      </c>
    </row>
    <row r="71" spans="1:7" ht="15.75">
      <c r="A71" s="106"/>
      <c r="B71" s="104" t="s">
        <v>356</v>
      </c>
      <c r="C71" s="105" t="s">
        <v>640</v>
      </c>
      <c r="D71" s="104" t="s">
        <v>0</v>
      </c>
      <c r="E71" s="104">
        <v>0.49</v>
      </c>
      <c r="F71" s="155">
        <f>ROUND(18.18,2)</f>
        <v>18.18</v>
      </c>
      <c r="G71" s="107">
        <f>ROUND(E71*F71,2)</f>
        <v>8.91</v>
      </c>
    </row>
    <row r="72" spans="1:7" ht="15.75">
      <c r="A72" s="106"/>
      <c r="B72" s="104" t="s">
        <v>357</v>
      </c>
      <c r="C72" s="105" t="s">
        <v>641</v>
      </c>
      <c r="D72" s="104" t="s">
        <v>14</v>
      </c>
      <c r="E72" s="104">
        <v>0.0864</v>
      </c>
      <c r="F72" s="155">
        <f>ROUND(0.3272,2)</f>
        <v>0.33</v>
      </c>
      <c r="G72" s="107">
        <f>ROUND(E72*F72,2)</f>
        <v>0.03</v>
      </c>
    </row>
    <row r="73" spans="1:7" ht="15.75">
      <c r="A73" s="106"/>
      <c r="B73" s="104" t="s">
        <v>373</v>
      </c>
      <c r="C73" s="105" t="s">
        <v>642</v>
      </c>
      <c r="D73" s="104" t="s">
        <v>14</v>
      </c>
      <c r="E73" s="104">
        <v>0.0057</v>
      </c>
      <c r="F73" s="155">
        <f>ROUND(1.28,2)</f>
        <v>1.28</v>
      </c>
      <c r="G73" s="107">
        <f>ROUND(E73*F73,2)</f>
        <v>0.01</v>
      </c>
    </row>
    <row r="74" spans="1:7" ht="30">
      <c r="A74" s="106"/>
      <c r="B74" s="104" t="s">
        <v>82</v>
      </c>
      <c r="C74" s="105" t="s">
        <v>643</v>
      </c>
      <c r="D74" s="104" t="s">
        <v>14</v>
      </c>
      <c r="E74" s="104">
        <v>0.1188</v>
      </c>
      <c r="F74" s="155">
        <f>ROUND(41.92,2)</f>
        <v>41.92</v>
      </c>
      <c r="G74" s="107">
        <f>ROUND(E74*F74,2)</f>
        <v>4.98</v>
      </c>
    </row>
    <row r="75" spans="1:7" ht="30">
      <c r="A75" s="106"/>
      <c r="B75" s="104" t="s">
        <v>372</v>
      </c>
      <c r="C75" s="105" t="s">
        <v>644</v>
      </c>
      <c r="D75" s="104" t="s">
        <v>14</v>
      </c>
      <c r="E75" s="104">
        <v>0.0086</v>
      </c>
      <c r="F75" s="155">
        <f>ROUND(97.86,2)</f>
        <v>97.86</v>
      </c>
      <c r="G75" s="107">
        <f>ROUND(E75*F75,2)</f>
        <v>0.84</v>
      </c>
    </row>
    <row r="76" spans="1:7" ht="15.75">
      <c r="A76" s="106"/>
      <c r="B76" s="104" t="s">
        <v>364</v>
      </c>
      <c r="C76" s="105" t="s">
        <v>645</v>
      </c>
      <c r="D76" s="104" t="s">
        <v>14</v>
      </c>
      <c r="E76" s="104">
        <v>0.0432</v>
      </c>
      <c r="F76" s="155">
        <f>ROUND(1.26,2)</f>
        <v>1.26</v>
      </c>
      <c r="G76" s="107">
        <f>ROUND(E76*F76,2)</f>
        <v>0.05</v>
      </c>
    </row>
    <row r="77" spans="1:7" ht="15.75">
      <c r="A77" s="106"/>
      <c r="B77" s="104" t="s">
        <v>81</v>
      </c>
      <c r="C77" s="105" t="s">
        <v>646</v>
      </c>
      <c r="D77" s="104" t="s">
        <v>14</v>
      </c>
      <c r="E77" s="104">
        <v>0.026158999999999998</v>
      </c>
      <c r="F77" s="155">
        <f>ROUND(3.1,2)</f>
        <v>3.1</v>
      </c>
      <c r="G77" s="107">
        <f>ROUND(E77*F77,2)</f>
        <v>0.08</v>
      </c>
    </row>
    <row r="78" spans="1:7" ht="15.75">
      <c r="A78" s="106"/>
      <c r="B78" s="104" t="s">
        <v>377</v>
      </c>
      <c r="C78" s="105" t="s">
        <v>647</v>
      </c>
      <c r="D78" s="104" t="s">
        <v>14</v>
      </c>
      <c r="E78" s="104">
        <v>1.41</v>
      </c>
      <c r="F78" s="155">
        <f>ROUND(0.05,2)</f>
        <v>0.05</v>
      </c>
      <c r="G78" s="107">
        <f>ROUND(E78*F78,2)</f>
        <v>0.07</v>
      </c>
    </row>
    <row r="79" spans="1:7" ht="15.75">
      <c r="A79" s="106"/>
      <c r="B79" s="104" t="s">
        <v>376</v>
      </c>
      <c r="C79" s="105" t="s">
        <v>648</v>
      </c>
      <c r="D79" s="104" t="s">
        <v>14</v>
      </c>
      <c r="E79" s="104">
        <v>0.0057</v>
      </c>
      <c r="F79" s="155">
        <f>ROUND(4.54,2)</f>
        <v>4.54</v>
      </c>
      <c r="G79" s="107">
        <f>ROUND(E79*F79,2)</f>
        <v>0.03</v>
      </c>
    </row>
    <row r="80" spans="1:7" ht="15.75">
      <c r="A80" s="106"/>
      <c r="B80" s="104" t="s">
        <v>381</v>
      </c>
      <c r="C80" s="105" t="s">
        <v>649</v>
      </c>
      <c r="D80" s="104" t="s">
        <v>14</v>
      </c>
      <c r="E80" s="104">
        <v>0.0086</v>
      </c>
      <c r="F80" s="155">
        <f>ROUND(4.9,2)</f>
        <v>4.9</v>
      </c>
      <c r="G80" s="107">
        <f>ROUND(E80*F80,2)</f>
        <v>0.04</v>
      </c>
    </row>
    <row r="81" spans="1:7" ht="30">
      <c r="A81" s="106"/>
      <c r="B81" s="104" t="s">
        <v>374</v>
      </c>
      <c r="C81" s="105" t="s">
        <v>650</v>
      </c>
      <c r="D81" s="104" t="s">
        <v>14</v>
      </c>
      <c r="E81" s="104">
        <v>0.0057</v>
      </c>
      <c r="F81" s="155">
        <f>ROUND(14.96,2)</f>
        <v>14.96</v>
      </c>
      <c r="G81" s="107">
        <f>ROUND(E81*F81,2)</f>
        <v>0.09</v>
      </c>
    </row>
    <row r="82" spans="1:7" ht="15.75">
      <c r="A82" s="106"/>
      <c r="B82" s="104" t="s">
        <v>23</v>
      </c>
      <c r="C82" s="105" t="s">
        <v>651</v>
      </c>
      <c r="D82" s="104" t="s">
        <v>14</v>
      </c>
      <c r="E82" s="104">
        <v>0.0201</v>
      </c>
      <c r="F82" s="155">
        <f>ROUND(1.27,2)</f>
        <v>1.27</v>
      </c>
      <c r="G82" s="107">
        <f>ROUND(E82*F82,2)</f>
        <v>0.03</v>
      </c>
    </row>
    <row r="83" spans="1:7" ht="15.75">
      <c r="A83" s="106"/>
      <c r="B83" s="104" t="s">
        <v>341</v>
      </c>
      <c r="C83" s="105" t="s">
        <v>652</v>
      </c>
      <c r="D83" s="104" t="s">
        <v>14</v>
      </c>
      <c r="E83" s="104">
        <v>0.0345</v>
      </c>
      <c r="F83" s="155">
        <f>ROUND(0.98,2)</f>
        <v>0.98</v>
      </c>
      <c r="G83" s="107">
        <f>ROUND(E83*F83,2)</f>
        <v>0.03</v>
      </c>
    </row>
    <row r="84" spans="1:7" ht="15.75">
      <c r="A84" s="106"/>
      <c r="B84" s="104" t="s">
        <v>371</v>
      </c>
      <c r="C84" s="105" t="s">
        <v>653</v>
      </c>
      <c r="D84" s="104" t="s">
        <v>14</v>
      </c>
      <c r="E84" s="104">
        <v>0.0072</v>
      </c>
      <c r="F84" s="155">
        <f>ROUND(19.67,2)</f>
        <v>19.67</v>
      </c>
      <c r="G84" s="107">
        <f>ROUND(E84*F84,2)</f>
        <v>0.14</v>
      </c>
    </row>
    <row r="85" spans="1:7" ht="15.75">
      <c r="A85" s="106"/>
      <c r="B85" s="104" t="s">
        <v>80</v>
      </c>
      <c r="C85" s="105" t="s">
        <v>654</v>
      </c>
      <c r="D85" s="104" t="s">
        <v>14</v>
      </c>
      <c r="E85" s="104">
        <v>0.0864</v>
      </c>
      <c r="F85" s="155">
        <f>ROUND(3.6,2)</f>
        <v>3.6</v>
      </c>
      <c r="G85" s="107">
        <f>ROUND(E85*F85,2)</f>
        <v>0.31</v>
      </c>
    </row>
    <row r="86" spans="1:7" ht="30">
      <c r="A86" s="106"/>
      <c r="B86" s="104" t="s">
        <v>79</v>
      </c>
      <c r="C86" s="105" t="s">
        <v>655</v>
      </c>
      <c r="D86" s="104" t="s">
        <v>14</v>
      </c>
      <c r="E86" s="104">
        <v>0.0057</v>
      </c>
      <c r="F86" s="155">
        <f>ROUND(7.72,2)</f>
        <v>7.72</v>
      </c>
      <c r="G86" s="107">
        <f>ROUND(E86*F86,2)</f>
        <v>0.04</v>
      </c>
    </row>
    <row r="87" spans="1:7" ht="30">
      <c r="A87" s="106"/>
      <c r="B87" s="104" t="s">
        <v>375</v>
      </c>
      <c r="C87" s="105" t="s">
        <v>656</v>
      </c>
      <c r="D87" s="104" t="s">
        <v>14</v>
      </c>
      <c r="E87" s="104">
        <v>0.0028</v>
      </c>
      <c r="F87" s="155">
        <f>ROUND(73.38,2)</f>
        <v>73.38</v>
      </c>
      <c r="G87" s="107">
        <f>ROUND(E87*F87,2)</f>
        <v>0.21</v>
      </c>
    </row>
    <row r="88" spans="1:7" ht="30">
      <c r="A88" s="106"/>
      <c r="B88" s="104" t="s">
        <v>385</v>
      </c>
      <c r="C88" s="105" t="s">
        <v>657</v>
      </c>
      <c r="D88" s="104" t="s">
        <v>14</v>
      </c>
      <c r="E88" s="104">
        <v>0.0288</v>
      </c>
      <c r="F88" s="155">
        <f>ROUND(21.67,2)</f>
        <v>21.67</v>
      </c>
      <c r="G88" s="107">
        <f>ROUND(E88*F88,2)</f>
        <v>0.62</v>
      </c>
    </row>
    <row r="89" spans="1:7" ht="15.75">
      <c r="A89" s="106"/>
      <c r="B89" s="104" t="s">
        <v>369</v>
      </c>
      <c r="C89" s="105" t="s">
        <v>658</v>
      </c>
      <c r="D89" s="104" t="s">
        <v>14</v>
      </c>
      <c r="E89" s="104">
        <v>0.0028</v>
      </c>
      <c r="F89" s="155">
        <f>ROUND(21.7,2)</f>
        <v>21.7</v>
      </c>
      <c r="G89" s="107">
        <f>ROUND(E89*F89,2)</f>
        <v>0.06</v>
      </c>
    </row>
    <row r="90" spans="1:7" ht="15.75">
      <c r="A90" s="106"/>
      <c r="B90" s="104" t="s">
        <v>390</v>
      </c>
      <c r="C90" s="105" t="s">
        <v>659</v>
      </c>
      <c r="D90" s="104" t="s">
        <v>14</v>
      </c>
      <c r="E90" s="104">
        <v>0.0192</v>
      </c>
      <c r="F90" s="155">
        <f>ROUND(2.02,2)</f>
        <v>2.02</v>
      </c>
      <c r="G90" s="107">
        <f>ROUND(E90*F90,2)</f>
        <v>0.04</v>
      </c>
    </row>
    <row r="91" spans="1:7" ht="15.75">
      <c r="A91" s="106"/>
      <c r="B91" s="104" t="s">
        <v>386</v>
      </c>
      <c r="C91" s="105" t="s">
        <v>660</v>
      </c>
      <c r="D91" s="104" t="s">
        <v>14</v>
      </c>
      <c r="E91" s="104">
        <v>0.0028</v>
      </c>
      <c r="F91" s="155">
        <f>ROUND(24.24,2)</f>
        <v>24.24</v>
      </c>
      <c r="G91" s="107">
        <f>ROUND(E91*F91,2)</f>
        <v>0.07</v>
      </c>
    </row>
    <row r="92" spans="1:7" ht="15.75">
      <c r="A92" s="106"/>
      <c r="B92" s="104" t="s">
        <v>378</v>
      </c>
      <c r="C92" s="105" t="s">
        <v>661</v>
      </c>
      <c r="D92" s="104" t="s">
        <v>14</v>
      </c>
      <c r="E92" s="104">
        <v>0.0086</v>
      </c>
      <c r="F92" s="155">
        <f>ROUND(20.28,2)</f>
        <v>20.28</v>
      </c>
      <c r="G92" s="107">
        <f>ROUND(E92*F92,2)</f>
        <v>0.17</v>
      </c>
    </row>
    <row r="93" spans="1:7" ht="15.75">
      <c r="A93" s="106"/>
      <c r="B93" s="104" t="s">
        <v>388</v>
      </c>
      <c r="C93" s="105" t="s">
        <v>662</v>
      </c>
      <c r="D93" s="104" t="s">
        <v>14</v>
      </c>
      <c r="E93" s="104">
        <v>0.0028</v>
      </c>
      <c r="F93" s="155">
        <f>ROUND(2.13,2)</f>
        <v>2.13</v>
      </c>
      <c r="G93" s="107">
        <f>ROUND(E93*F93,2)</f>
        <v>0.01</v>
      </c>
    </row>
    <row r="94" spans="1:7" ht="30">
      <c r="A94" s="106"/>
      <c r="B94" s="104" t="s">
        <v>389</v>
      </c>
      <c r="C94" s="105" t="s">
        <v>663</v>
      </c>
      <c r="D94" s="104" t="s">
        <v>14</v>
      </c>
      <c r="E94" s="104">
        <v>0.0057</v>
      </c>
      <c r="F94" s="155">
        <f>ROUND(34.2,2)</f>
        <v>34.2</v>
      </c>
      <c r="G94" s="107">
        <f>ROUND(E94*F94,2)</f>
        <v>0.19</v>
      </c>
    </row>
    <row r="95" spans="1:7" ht="30">
      <c r="A95" s="106"/>
      <c r="B95" s="104" t="s">
        <v>366</v>
      </c>
      <c r="C95" s="105" t="s">
        <v>664</v>
      </c>
      <c r="D95" s="104" t="s">
        <v>14</v>
      </c>
      <c r="E95" s="104">
        <v>0.0057</v>
      </c>
      <c r="F95" s="155">
        <f>ROUND(19.97,2)</f>
        <v>19.97</v>
      </c>
      <c r="G95" s="107">
        <f>ROUND(E95*F95,2)</f>
        <v>0.11</v>
      </c>
    </row>
    <row r="96" spans="1:7" ht="15.75">
      <c r="A96" s="106"/>
      <c r="B96" s="104" t="s">
        <v>367</v>
      </c>
      <c r="C96" s="105" t="s">
        <v>665</v>
      </c>
      <c r="D96" s="104" t="s">
        <v>14</v>
      </c>
      <c r="E96" s="104">
        <v>0.0057</v>
      </c>
      <c r="F96" s="155">
        <f>ROUND(27.82,2)</f>
        <v>27.82</v>
      </c>
      <c r="G96" s="107">
        <f>ROUND(E96*F96,2)</f>
        <v>0.16</v>
      </c>
    </row>
    <row r="97" spans="1:7" ht="15.75">
      <c r="A97" s="106"/>
      <c r="B97" s="104" t="s">
        <v>368</v>
      </c>
      <c r="C97" s="105" t="s">
        <v>666</v>
      </c>
      <c r="D97" s="104" t="s">
        <v>14</v>
      </c>
      <c r="E97" s="104">
        <v>0.008686</v>
      </c>
      <c r="F97" s="155">
        <f>ROUND(5.37,2)</f>
        <v>5.37</v>
      </c>
      <c r="G97" s="107">
        <f>ROUND(E97*F97,2)</f>
        <v>0.05</v>
      </c>
    </row>
    <row r="98" spans="1:7" ht="15.75">
      <c r="A98" s="106"/>
      <c r="B98" s="104" t="s">
        <v>384</v>
      </c>
      <c r="C98" s="105" t="s">
        <v>667</v>
      </c>
      <c r="D98" s="104" t="s">
        <v>14</v>
      </c>
      <c r="E98" s="104">
        <v>0.0144</v>
      </c>
      <c r="F98" s="155">
        <f>ROUND(1.09,2)</f>
        <v>1.09</v>
      </c>
      <c r="G98" s="107">
        <f>ROUND(E98*F98,2)</f>
        <v>0.02</v>
      </c>
    </row>
    <row r="99" spans="1:7" ht="15.75">
      <c r="A99" s="106"/>
      <c r="B99" s="104" t="s">
        <v>387</v>
      </c>
      <c r="C99" s="105" t="s">
        <v>668</v>
      </c>
      <c r="D99" s="104" t="s">
        <v>14</v>
      </c>
      <c r="E99" s="104">
        <v>0.0144</v>
      </c>
      <c r="F99" s="155">
        <f>ROUND(12.46,2)</f>
        <v>12.46</v>
      </c>
      <c r="G99" s="107">
        <f>ROUND(E99*F99,2)</f>
        <v>0.18</v>
      </c>
    </row>
    <row r="100" spans="1:7" ht="30">
      <c r="A100" s="106"/>
      <c r="B100" s="104" t="s">
        <v>601</v>
      </c>
      <c r="C100" s="105" t="s">
        <v>602</v>
      </c>
      <c r="D100" s="104" t="s">
        <v>6</v>
      </c>
      <c r="E100" s="104">
        <v>6.5302</v>
      </c>
      <c r="F100" s="155">
        <f>ROUND(18.63,2)</f>
        <v>18.63</v>
      </c>
      <c r="G100" s="107">
        <f>ROUND(E100*F100,2)</f>
        <v>121.66</v>
      </c>
    </row>
    <row r="101" spans="1:7" ht="30">
      <c r="A101" s="106"/>
      <c r="B101" s="104" t="s">
        <v>597</v>
      </c>
      <c r="C101" s="105" t="s">
        <v>598</v>
      </c>
      <c r="D101" s="104" t="s">
        <v>6</v>
      </c>
      <c r="E101" s="104">
        <v>11.3815</v>
      </c>
      <c r="F101" s="155">
        <f>ROUND(12.54,2)</f>
        <v>12.54</v>
      </c>
      <c r="G101" s="107">
        <f>ROUND(E101*F101,2)</f>
        <v>142.72</v>
      </c>
    </row>
    <row r="102" spans="1:7" ht="30">
      <c r="A102" s="106"/>
      <c r="B102" s="104" t="s">
        <v>669</v>
      </c>
      <c r="C102" s="105" t="s">
        <v>670</v>
      </c>
      <c r="D102" s="104" t="s">
        <v>6</v>
      </c>
      <c r="E102" s="104">
        <v>0.31930000000000003</v>
      </c>
      <c r="F102" s="155">
        <f>ROUND(17.3,2)</f>
        <v>17.3</v>
      </c>
      <c r="G102" s="107">
        <f>ROUND(E102*F102,2)</f>
        <v>5.52</v>
      </c>
    </row>
    <row r="103" spans="1:7" ht="30">
      <c r="A103" s="106"/>
      <c r="B103" s="104" t="s">
        <v>671</v>
      </c>
      <c r="C103" s="105" t="s">
        <v>672</v>
      </c>
      <c r="D103" s="104" t="s">
        <v>6</v>
      </c>
      <c r="E103" s="104">
        <v>0.3811</v>
      </c>
      <c r="F103" s="155">
        <f>ROUND(17.3,2)</f>
        <v>17.3</v>
      </c>
      <c r="G103" s="107">
        <f>ROUND(E103*F103,2)</f>
        <v>6.59</v>
      </c>
    </row>
    <row r="104" spans="1:7" ht="30">
      <c r="A104" s="106"/>
      <c r="B104" s="104" t="s">
        <v>673</v>
      </c>
      <c r="C104" s="105" t="s">
        <v>674</v>
      </c>
      <c r="D104" s="104" t="s">
        <v>6</v>
      </c>
      <c r="E104" s="104">
        <v>0.07210000000000001</v>
      </c>
      <c r="F104" s="155">
        <f>ROUND(18.63,2)</f>
        <v>18.63</v>
      </c>
      <c r="G104" s="107">
        <f>ROUND(E104*F104,2)</f>
        <v>1.34</v>
      </c>
    </row>
    <row r="105" spans="1:7" ht="15.75">
      <c r="A105" s="106"/>
      <c r="B105" s="104" t="s">
        <v>675</v>
      </c>
      <c r="C105" s="105" t="s">
        <v>676</v>
      </c>
      <c r="D105" s="104" t="s">
        <v>0</v>
      </c>
      <c r="E105" s="104">
        <v>0.931</v>
      </c>
      <c r="F105" s="155">
        <f>ROUND(20.6164,2)</f>
        <v>20.62</v>
      </c>
      <c r="G105" s="107">
        <f>ROUND(E105*F105,2)</f>
        <v>19.2</v>
      </c>
    </row>
    <row r="106" spans="1:7" ht="15.75">
      <c r="A106" s="106"/>
      <c r="B106" s="104" t="s">
        <v>677</v>
      </c>
      <c r="C106" s="105" t="s">
        <v>678</v>
      </c>
      <c r="D106" s="104" t="s">
        <v>1</v>
      </c>
      <c r="E106" s="104">
        <v>0.0074</v>
      </c>
      <c r="F106" s="155">
        <f>ROUND(195.6056,2)</f>
        <v>195.61</v>
      </c>
      <c r="G106" s="107">
        <f>ROUND(E106*F106,2)</f>
        <v>1.45</v>
      </c>
    </row>
    <row r="107" spans="1:7" ht="15.75">
      <c r="A107" s="106"/>
      <c r="B107" s="104" t="s">
        <v>679</v>
      </c>
      <c r="C107" s="105" t="s">
        <v>680</v>
      </c>
      <c r="D107" s="104" t="s">
        <v>1</v>
      </c>
      <c r="E107" s="104">
        <v>0.02</v>
      </c>
      <c r="F107" s="155">
        <f>ROUND(209.3668,2)</f>
        <v>209.37</v>
      </c>
      <c r="G107" s="107">
        <f>ROUND(E107*F107,2)</f>
        <v>4.19</v>
      </c>
    </row>
    <row r="108" spans="1:7" ht="15.75">
      <c r="A108" s="106"/>
      <c r="B108" s="104" t="s">
        <v>681</v>
      </c>
      <c r="C108" s="105" t="s">
        <v>682</v>
      </c>
      <c r="D108" s="104" t="s">
        <v>1</v>
      </c>
      <c r="E108" s="104">
        <v>0.0274</v>
      </c>
      <c r="F108" s="155">
        <f>ROUND(62.4331,2)</f>
        <v>62.43</v>
      </c>
      <c r="G108" s="107">
        <f>ROUND(E108*F108,2)</f>
        <v>1.71</v>
      </c>
    </row>
    <row r="109" spans="1:7" ht="15.75">
      <c r="A109" s="106"/>
      <c r="B109" s="104" t="s">
        <v>683</v>
      </c>
      <c r="C109" s="105" t="s">
        <v>684</v>
      </c>
      <c r="D109" s="104" t="s">
        <v>1</v>
      </c>
      <c r="E109" s="104">
        <v>0.0274</v>
      </c>
      <c r="F109" s="155">
        <f>ROUND(57.0708,2)</f>
        <v>57.07</v>
      </c>
      <c r="G109" s="107">
        <f>ROUND(E109*F109,2)</f>
        <v>1.56</v>
      </c>
    </row>
    <row r="110" spans="1:7" ht="15.75">
      <c r="A110" s="106"/>
      <c r="B110" s="104" t="s">
        <v>685</v>
      </c>
      <c r="C110" s="105" t="s">
        <v>686</v>
      </c>
      <c r="D110" s="104" t="s">
        <v>0</v>
      </c>
      <c r="E110" s="104">
        <v>0.122</v>
      </c>
      <c r="F110" s="155">
        <f>ROUND(28.2089,2)</f>
        <v>28.21</v>
      </c>
      <c r="G110" s="107">
        <f>ROUND(E110*F110,2)</f>
        <v>3.44</v>
      </c>
    </row>
    <row r="111" spans="1:7" ht="15.75">
      <c r="A111" s="106"/>
      <c r="B111" s="104"/>
      <c r="C111" s="105"/>
      <c r="D111" s="104"/>
      <c r="E111" s="104" t="s">
        <v>7</v>
      </c>
      <c r="F111" s="155"/>
      <c r="G111" s="107">
        <f>ROUND(SUM(G35:G110),2)</f>
        <v>355.67</v>
      </c>
    </row>
    <row r="112" spans="1:8" ht="51">
      <c r="A112" s="26" t="s">
        <v>10</v>
      </c>
      <c r="B112" s="26" t="s">
        <v>1307</v>
      </c>
      <c r="C112" s="27" t="s">
        <v>1309</v>
      </c>
      <c r="D112" s="26" t="s">
        <v>14</v>
      </c>
      <c r="E112" s="223">
        <v>1</v>
      </c>
      <c r="F112" s="26">
        <f>F113</f>
        <v>1767.33</v>
      </c>
      <c r="G112" s="28">
        <f>ROUND((E112*F112),2)</f>
        <v>1767.33</v>
      </c>
      <c r="H112" t="s">
        <v>153</v>
      </c>
    </row>
    <row r="113" spans="1:7" ht="15.75" customHeight="1">
      <c r="A113" s="57"/>
      <c r="B113" s="58" t="s">
        <v>1062</v>
      </c>
      <c r="C113" s="59" t="s">
        <v>1063</v>
      </c>
      <c r="D113" s="58" t="s">
        <v>14</v>
      </c>
      <c r="E113" s="58">
        <v>1</v>
      </c>
      <c r="F113" s="114">
        <f>G134</f>
        <v>1767.33</v>
      </c>
      <c r="G113" s="60">
        <f>ROUND(E113*F113,2)</f>
        <v>1767.33</v>
      </c>
    </row>
    <row r="114" spans="1:7" s="484" customFormat="1" ht="33">
      <c r="A114" s="480"/>
      <c r="B114" s="481" t="s">
        <v>1064</v>
      </c>
      <c r="C114" s="482" t="s">
        <v>1065</v>
      </c>
      <c r="D114" s="481" t="s">
        <v>3</v>
      </c>
      <c r="E114" s="481"/>
      <c r="F114" s="481">
        <v>54.47</v>
      </c>
      <c r="G114" s="483">
        <f>ROUND(E114*F114,2)</f>
        <v>0</v>
      </c>
    </row>
    <row r="115" spans="1:7" s="489" customFormat="1" ht="15.75" customHeight="1">
      <c r="A115" s="485"/>
      <c r="B115" s="486" t="s">
        <v>1305</v>
      </c>
      <c r="C115" s="487" t="s">
        <v>1306</v>
      </c>
      <c r="D115" s="486" t="s">
        <v>14</v>
      </c>
      <c r="E115" s="486">
        <v>1</v>
      </c>
      <c r="F115" s="486">
        <v>303.37</v>
      </c>
      <c r="G115" s="488">
        <f>ROUND(E115*F115,2)</f>
        <v>303.37</v>
      </c>
    </row>
    <row r="116" spans="1:7" ht="15.75" customHeight="1">
      <c r="A116" s="106"/>
      <c r="B116" s="104" t="s">
        <v>1066</v>
      </c>
      <c r="C116" s="105" t="s">
        <v>1067</v>
      </c>
      <c r="D116" s="104" t="s">
        <v>14</v>
      </c>
      <c r="E116" s="104">
        <v>2</v>
      </c>
      <c r="F116" s="104">
        <v>20.75</v>
      </c>
      <c r="G116" s="107">
        <f>ROUND(E116*F116,2)</f>
        <v>41.5</v>
      </c>
    </row>
    <row r="117" spans="1:7" ht="15.75" customHeight="1">
      <c r="A117" s="106"/>
      <c r="B117" s="104" t="s">
        <v>1068</v>
      </c>
      <c r="C117" s="105" t="s">
        <v>1069</v>
      </c>
      <c r="D117" s="104" t="s">
        <v>3</v>
      </c>
      <c r="E117" s="104">
        <v>3</v>
      </c>
      <c r="F117" s="104">
        <v>7.6</v>
      </c>
      <c r="G117" s="107">
        <f>ROUND(E117*F117,2)</f>
        <v>22.8</v>
      </c>
    </row>
    <row r="118" spans="1:7" ht="15.75" customHeight="1">
      <c r="A118" s="106"/>
      <c r="B118" s="104" t="s">
        <v>1070</v>
      </c>
      <c r="C118" s="105" t="s">
        <v>1071</v>
      </c>
      <c r="D118" s="104" t="s">
        <v>3</v>
      </c>
      <c r="E118" s="104">
        <v>27</v>
      </c>
      <c r="F118" s="104">
        <v>5.5</v>
      </c>
      <c r="G118" s="107">
        <f>ROUND(E118*F118,2)</f>
        <v>148.5</v>
      </c>
    </row>
    <row r="119" spans="1:7" ht="15.75" customHeight="1">
      <c r="A119" s="106"/>
      <c r="B119" s="104" t="s">
        <v>1072</v>
      </c>
      <c r="C119" s="105" t="s">
        <v>1073</v>
      </c>
      <c r="D119" s="104" t="s">
        <v>14</v>
      </c>
      <c r="E119" s="104">
        <v>1</v>
      </c>
      <c r="F119" s="104">
        <v>91.25</v>
      </c>
      <c r="G119" s="107">
        <f>ROUND(E119*F119,2)</f>
        <v>91.25</v>
      </c>
    </row>
    <row r="120" spans="1:7" ht="15.75" customHeight="1">
      <c r="A120" s="106"/>
      <c r="B120" s="104" t="s">
        <v>1074</v>
      </c>
      <c r="C120" s="105" t="s">
        <v>1075</v>
      </c>
      <c r="D120" s="104" t="s">
        <v>14</v>
      </c>
      <c r="E120" s="104">
        <v>2</v>
      </c>
      <c r="F120" s="104">
        <v>68.88</v>
      </c>
      <c r="G120" s="107">
        <f>ROUND(E120*F120,2)</f>
        <v>137.76</v>
      </c>
    </row>
    <row r="121" spans="1:7" ht="15.75" customHeight="1">
      <c r="A121" s="106"/>
      <c r="B121" s="104" t="s">
        <v>1076</v>
      </c>
      <c r="C121" s="105" t="s">
        <v>1077</v>
      </c>
      <c r="D121" s="104" t="s">
        <v>14</v>
      </c>
      <c r="E121" s="104">
        <v>8</v>
      </c>
      <c r="F121" s="104">
        <v>4.61</v>
      </c>
      <c r="G121" s="107">
        <f>ROUND(E121*F121,2)</f>
        <v>36.88</v>
      </c>
    </row>
    <row r="122" spans="1:7" ht="15.75" customHeight="1">
      <c r="A122" s="106"/>
      <c r="B122" s="104" t="s">
        <v>1078</v>
      </c>
      <c r="C122" s="105" t="s">
        <v>1079</v>
      </c>
      <c r="D122" s="104" t="s">
        <v>14</v>
      </c>
      <c r="E122" s="104">
        <v>4</v>
      </c>
      <c r="F122" s="104">
        <v>1.32</v>
      </c>
      <c r="G122" s="107">
        <f>ROUND(E122*F122,2)</f>
        <v>5.28</v>
      </c>
    </row>
    <row r="123" spans="1:7" ht="15.75" customHeight="1">
      <c r="A123" s="106"/>
      <c r="B123" s="104" t="s">
        <v>1080</v>
      </c>
      <c r="C123" s="105" t="s">
        <v>1081</v>
      </c>
      <c r="D123" s="104" t="s">
        <v>14</v>
      </c>
      <c r="E123" s="104">
        <v>0.1333333</v>
      </c>
      <c r="F123" s="104">
        <v>58.59</v>
      </c>
      <c r="G123" s="107">
        <f>ROUND(E123*F123,2)</f>
        <v>7.81</v>
      </c>
    </row>
    <row r="124" spans="1:7" ht="15.75" customHeight="1">
      <c r="A124" s="106"/>
      <c r="B124" s="104" t="s">
        <v>1082</v>
      </c>
      <c r="C124" s="105" t="s">
        <v>1083</v>
      </c>
      <c r="D124" s="104" t="s">
        <v>3</v>
      </c>
      <c r="E124" s="104">
        <v>8</v>
      </c>
      <c r="F124" s="104">
        <v>4.9</v>
      </c>
      <c r="G124" s="107">
        <f>ROUND(E124*F124,2)</f>
        <v>39.2</v>
      </c>
    </row>
    <row r="125" spans="1:7" ht="15.75" customHeight="1">
      <c r="A125" s="106"/>
      <c r="B125" s="104" t="s">
        <v>1084</v>
      </c>
      <c r="C125" s="105" t="s">
        <v>1085</v>
      </c>
      <c r="D125" s="104" t="s">
        <v>14</v>
      </c>
      <c r="E125" s="104">
        <v>1</v>
      </c>
      <c r="F125" s="104">
        <v>37.94</v>
      </c>
      <c r="G125" s="107">
        <f>ROUND(E125*F125,2)</f>
        <v>37.94</v>
      </c>
    </row>
    <row r="126" spans="1:7" ht="15.75" customHeight="1">
      <c r="A126" s="106"/>
      <c r="B126" s="104" t="s">
        <v>1086</v>
      </c>
      <c r="C126" s="105" t="s">
        <v>1087</v>
      </c>
      <c r="D126" s="104" t="s">
        <v>14</v>
      </c>
      <c r="E126" s="104">
        <v>2</v>
      </c>
      <c r="F126" s="104">
        <v>7.03</v>
      </c>
      <c r="G126" s="107">
        <f>ROUND(E126*F126,2)</f>
        <v>14.06</v>
      </c>
    </row>
    <row r="127" spans="1:7" ht="15.75" customHeight="1">
      <c r="A127" s="106"/>
      <c r="B127" s="104" t="s">
        <v>1088</v>
      </c>
      <c r="C127" s="105" t="s">
        <v>1089</v>
      </c>
      <c r="D127" s="104" t="s">
        <v>14</v>
      </c>
      <c r="E127" s="104">
        <v>2</v>
      </c>
      <c r="F127" s="104">
        <v>7.27</v>
      </c>
      <c r="G127" s="107">
        <f>ROUND(E127*F127,2)</f>
        <v>14.54</v>
      </c>
    </row>
    <row r="128" spans="1:7" ht="15.75" customHeight="1">
      <c r="A128" s="106"/>
      <c r="B128" s="104" t="s">
        <v>1090</v>
      </c>
      <c r="C128" s="105" t="s">
        <v>1091</v>
      </c>
      <c r="D128" s="104" t="s">
        <v>14</v>
      </c>
      <c r="E128" s="104">
        <v>2</v>
      </c>
      <c r="F128" s="104">
        <v>3.73</v>
      </c>
      <c r="G128" s="107">
        <f>ROUND(E128*F128,2)</f>
        <v>7.46</v>
      </c>
    </row>
    <row r="129" spans="1:7" ht="15.75" customHeight="1">
      <c r="A129" s="106"/>
      <c r="B129" s="104" t="s">
        <v>1092</v>
      </c>
      <c r="C129" s="105" t="s">
        <v>1093</v>
      </c>
      <c r="D129" s="104" t="s">
        <v>14</v>
      </c>
      <c r="E129" s="104">
        <v>2</v>
      </c>
      <c r="F129" s="104">
        <v>0.93</v>
      </c>
      <c r="G129" s="107">
        <f>ROUND(E129*F129,2)</f>
        <v>1.86</v>
      </c>
    </row>
    <row r="130" spans="1:7" ht="15.75" customHeight="1">
      <c r="A130" s="106"/>
      <c r="B130" s="104" t="s">
        <v>1094</v>
      </c>
      <c r="C130" s="105" t="s">
        <v>1095</v>
      </c>
      <c r="D130" s="104" t="s">
        <v>14</v>
      </c>
      <c r="E130" s="104">
        <v>2</v>
      </c>
      <c r="F130" s="104">
        <v>0.69</v>
      </c>
      <c r="G130" s="107">
        <f>ROUND(E130*F130,2)</f>
        <v>1.38</v>
      </c>
    </row>
    <row r="131" spans="1:7" ht="15.75" customHeight="1">
      <c r="A131" s="106"/>
      <c r="B131" s="104" t="s">
        <v>1096</v>
      </c>
      <c r="C131" s="105" t="s">
        <v>1097</v>
      </c>
      <c r="D131" s="104" t="s">
        <v>14</v>
      </c>
      <c r="E131" s="104">
        <v>1</v>
      </c>
      <c r="F131" s="104">
        <v>73.5</v>
      </c>
      <c r="G131" s="107">
        <f>ROUND(E131*F131,2)</f>
        <v>73.5</v>
      </c>
    </row>
    <row r="132" spans="1:7" ht="15.75" customHeight="1">
      <c r="A132" s="106"/>
      <c r="B132" s="104" t="s">
        <v>1096</v>
      </c>
      <c r="C132" s="105" t="s">
        <v>1097</v>
      </c>
      <c r="D132" s="104" t="s">
        <v>14</v>
      </c>
      <c r="E132" s="104">
        <v>8</v>
      </c>
      <c r="F132" s="104">
        <v>73.5</v>
      </c>
      <c r="G132" s="107">
        <f>ROUND(E132*F132,2)</f>
        <v>588</v>
      </c>
    </row>
    <row r="133" spans="1:7" ht="15.75" customHeight="1">
      <c r="A133" s="106"/>
      <c r="B133" s="104" t="s">
        <v>1098</v>
      </c>
      <c r="C133" s="105" t="s">
        <v>1099</v>
      </c>
      <c r="D133" s="104" t="s">
        <v>6</v>
      </c>
      <c r="E133" s="104">
        <v>8</v>
      </c>
      <c r="F133" s="104">
        <f>ROUND(24.28,2)</f>
        <v>24.28</v>
      </c>
      <c r="G133" s="107">
        <f>ROUND(E133*F133,2)</f>
        <v>194.24</v>
      </c>
    </row>
    <row r="134" spans="1:7" ht="15.75" customHeight="1">
      <c r="A134" s="106"/>
      <c r="B134" s="104"/>
      <c r="C134" s="105"/>
      <c r="D134" s="104"/>
      <c r="E134" s="104" t="s">
        <v>7</v>
      </c>
      <c r="F134" s="104"/>
      <c r="G134" s="107">
        <f>ROUND(SUM(G114:G133),2)</f>
        <v>1767.33</v>
      </c>
    </row>
    <row r="135" spans="1:7" ht="30">
      <c r="A135" s="26" t="s">
        <v>11</v>
      </c>
      <c r="B135" s="26" t="s">
        <v>155</v>
      </c>
      <c r="C135" s="27" t="s">
        <v>497</v>
      </c>
      <c r="D135" s="26" t="s">
        <v>14</v>
      </c>
      <c r="E135" s="223">
        <v>1</v>
      </c>
      <c r="F135" s="120">
        <f>ROUND(F136,2)-0.12</f>
        <v>2890.65</v>
      </c>
      <c r="G135" s="28">
        <f>ROUND((E135*F135),2)</f>
        <v>2890.65</v>
      </c>
    </row>
    <row r="136" spans="1:7" ht="60">
      <c r="A136" s="57"/>
      <c r="B136" s="58" t="s">
        <v>687</v>
      </c>
      <c r="C136" s="59" t="s">
        <v>1316</v>
      </c>
      <c r="D136" s="58" t="s">
        <v>14</v>
      </c>
      <c r="E136" s="58">
        <v>1</v>
      </c>
      <c r="F136" s="114">
        <f>G153</f>
        <v>2890.77</v>
      </c>
      <c r="G136" s="60">
        <f>ROUND(E136*F136,2)</f>
        <v>2890.77</v>
      </c>
    </row>
    <row r="137" spans="1:7" ht="15.75">
      <c r="A137" s="106"/>
      <c r="B137" s="104" t="s">
        <v>89</v>
      </c>
      <c r="C137" s="105" t="s">
        <v>688</v>
      </c>
      <c r="D137" s="104" t="s">
        <v>14</v>
      </c>
      <c r="E137" s="104">
        <v>1</v>
      </c>
      <c r="F137" s="155">
        <f>ROUND(10.4,2)</f>
        <v>10.4</v>
      </c>
      <c r="G137" s="107">
        <f>ROUND(E137*F137,2)</f>
        <v>10.4</v>
      </c>
    </row>
    <row r="138" spans="1:7" ht="15.75">
      <c r="A138" s="106"/>
      <c r="B138" s="104" t="s">
        <v>2</v>
      </c>
      <c r="C138" s="105" t="s">
        <v>594</v>
      </c>
      <c r="D138" s="104" t="s">
        <v>3</v>
      </c>
      <c r="E138" s="104">
        <v>25</v>
      </c>
      <c r="F138" s="155">
        <f>ROUND(3.25,2)</f>
        <v>3.25</v>
      </c>
      <c r="G138" s="107">
        <f>ROUND(E138*F138,2)</f>
        <v>81.25</v>
      </c>
    </row>
    <row r="139" spans="1:7" ht="30">
      <c r="A139" s="106"/>
      <c r="B139" s="104" t="s">
        <v>4</v>
      </c>
      <c r="C139" s="105" t="s">
        <v>593</v>
      </c>
      <c r="D139" s="104" t="s">
        <v>5</v>
      </c>
      <c r="E139" s="104">
        <v>1</v>
      </c>
      <c r="F139" s="155">
        <f>ROUND(8.39,2)</f>
        <v>8.39</v>
      </c>
      <c r="G139" s="107">
        <f>ROUND(E139*F139,2)</f>
        <v>8.39</v>
      </c>
    </row>
    <row r="140" spans="1:7" ht="15.75">
      <c r="A140" s="106"/>
      <c r="B140" s="104" t="s">
        <v>84</v>
      </c>
      <c r="C140" s="105" t="s">
        <v>689</v>
      </c>
      <c r="D140" s="104" t="s">
        <v>14</v>
      </c>
      <c r="E140" s="104">
        <v>30</v>
      </c>
      <c r="F140" s="155">
        <f>ROUND(0.49,2)</f>
        <v>0.49</v>
      </c>
      <c r="G140" s="107">
        <f>ROUND(E140*F140,2)</f>
        <v>14.7</v>
      </c>
    </row>
    <row r="141" spans="1:7" ht="30">
      <c r="A141" s="106"/>
      <c r="B141" s="104" t="s">
        <v>86</v>
      </c>
      <c r="C141" s="105" t="s">
        <v>625</v>
      </c>
      <c r="D141" s="104" t="s">
        <v>14</v>
      </c>
      <c r="E141" s="104">
        <v>1</v>
      </c>
      <c r="F141" s="155">
        <f>ROUND(21.9,2)</f>
        <v>21.9</v>
      </c>
      <c r="G141" s="107">
        <f>ROUND(E141*F141,2)</f>
        <v>21.9</v>
      </c>
    </row>
    <row r="142" spans="1:7" ht="15.75">
      <c r="A142" s="106"/>
      <c r="B142" s="104" t="s">
        <v>83</v>
      </c>
      <c r="C142" s="105" t="s">
        <v>690</v>
      </c>
      <c r="D142" s="104" t="s">
        <v>3</v>
      </c>
      <c r="E142" s="104">
        <v>30</v>
      </c>
      <c r="F142" s="155">
        <f>ROUND(15.78,2)</f>
        <v>15.78</v>
      </c>
      <c r="G142" s="107">
        <f>ROUND(E142*F142,2)</f>
        <v>473.4</v>
      </c>
    </row>
    <row r="143" spans="1:7" ht="15.75">
      <c r="A143" s="106"/>
      <c r="B143" s="104" t="s">
        <v>88</v>
      </c>
      <c r="C143" s="105" t="s">
        <v>691</v>
      </c>
      <c r="D143" s="104" t="s">
        <v>3</v>
      </c>
      <c r="E143" s="104">
        <v>3.44</v>
      </c>
      <c r="F143" s="155">
        <f>ROUND(9.96,2)</f>
        <v>9.96</v>
      </c>
      <c r="G143" s="107">
        <f>ROUND(E143*F143,2)</f>
        <v>34.26</v>
      </c>
    </row>
    <row r="144" spans="1:7" ht="15.75">
      <c r="A144" s="106"/>
      <c r="B144" s="104" t="s">
        <v>87</v>
      </c>
      <c r="C144" s="105" t="s">
        <v>637</v>
      </c>
      <c r="D144" s="104" t="s">
        <v>14</v>
      </c>
      <c r="E144" s="104">
        <v>1</v>
      </c>
      <c r="F144" s="155">
        <f>ROUND(234.78,2)</f>
        <v>234.78</v>
      </c>
      <c r="G144" s="107">
        <f>ROUND(E144*F144,2)</f>
        <v>234.78</v>
      </c>
    </row>
    <row r="145" spans="1:7" ht="30">
      <c r="A145" s="106"/>
      <c r="B145" s="104" t="s">
        <v>671</v>
      </c>
      <c r="C145" s="105" t="s">
        <v>672</v>
      </c>
      <c r="D145" s="104" t="s">
        <v>6</v>
      </c>
      <c r="E145" s="104">
        <v>11.33</v>
      </c>
      <c r="F145" s="155">
        <f>ROUND(17.3,2)</f>
        <v>17.3</v>
      </c>
      <c r="G145" s="107">
        <f>ROUND(E145*F145,2)</f>
        <v>196.01</v>
      </c>
    </row>
    <row r="146" spans="1:7" ht="30">
      <c r="A146" s="106"/>
      <c r="B146" s="104" t="s">
        <v>601</v>
      </c>
      <c r="C146" s="105" t="s">
        <v>602</v>
      </c>
      <c r="D146" s="104" t="s">
        <v>6</v>
      </c>
      <c r="E146" s="104">
        <v>8.24</v>
      </c>
      <c r="F146" s="155">
        <f>ROUND(18.63,2)</f>
        <v>18.63</v>
      </c>
      <c r="G146" s="107">
        <f>ROUND(E146*F146,2)</f>
        <v>153.51</v>
      </c>
    </row>
    <row r="147" spans="1:7" ht="15.75">
      <c r="A147" s="106"/>
      <c r="B147" s="104" t="s">
        <v>692</v>
      </c>
      <c r="C147" s="105" t="s">
        <v>693</v>
      </c>
      <c r="D147" s="104" t="s">
        <v>6</v>
      </c>
      <c r="E147" s="104">
        <v>8.24</v>
      </c>
      <c r="F147" s="155">
        <f>ROUND(17.3,2)</f>
        <v>17.3</v>
      </c>
      <c r="G147" s="107">
        <f>ROUND(E147*F147,2)</f>
        <v>142.55</v>
      </c>
    </row>
    <row r="148" spans="1:7" ht="30">
      <c r="A148" s="106"/>
      <c r="B148" s="104" t="s">
        <v>597</v>
      </c>
      <c r="C148" s="105" t="s">
        <v>598</v>
      </c>
      <c r="D148" s="104" t="s">
        <v>6</v>
      </c>
      <c r="E148" s="104">
        <v>8.24</v>
      </c>
      <c r="F148" s="155">
        <f>ROUND(12.54,2)</f>
        <v>12.54</v>
      </c>
      <c r="G148" s="107">
        <f>ROUND(E148*F148,2)</f>
        <v>103.33</v>
      </c>
    </row>
    <row r="149" spans="1:7" ht="30">
      <c r="A149" s="106"/>
      <c r="B149" s="104" t="s">
        <v>85</v>
      </c>
      <c r="C149" s="105" t="s">
        <v>694</v>
      </c>
      <c r="D149" s="104" t="s">
        <v>14</v>
      </c>
      <c r="E149" s="104">
        <v>1</v>
      </c>
      <c r="F149" s="155">
        <f>ROUND(828.15,2)</f>
        <v>828.15</v>
      </c>
      <c r="G149" s="107">
        <f>ROUND(E149*F149,2)</f>
        <v>828.15</v>
      </c>
    </row>
    <row r="150" spans="1:7" ht="15.75">
      <c r="A150" s="106"/>
      <c r="B150" s="104" t="s">
        <v>675</v>
      </c>
      <c r="C150" s="105" t="s">
        <v>676</v>
      </c>
      <c r="D150" s="104" t="s">
        <v>0</v>
      </c>
      <c r="E150" s="104">
        <v>8</v>
      </c>
      <c r="F150" s="155">
        <f>ROUND(20.6164,2)</f>
        <v>20.62</v>
      </c>
      <c r="G150" s="107">
        <f>ROUND(E150*F150,2)</f>
        <v>164.96</v>
      </c>
    </row>
    <row r="151" spans="1:7" ht="15.75">
      <c r="A151" s="106"/>
      <c r="B151" s="104" t="s">
        <v>695</v>
      </c>
      <c r="C151" s="105" t="s">
        <v>696</v>
      </c>
      <c r="D151" s="104" t="s">
        <v>1</v>
      </c>
      <c r="E151" s="104">
        <v>0.018</v>
      </c>
      <c r="F151" s="155">
        <f>ROUND(267.2254,2)</f>
        <v>267.23</v>
      </c>
      <c r="G151" s="107">
        <f>ROUND(E151*F151,2)</f>
        <v>4.81</v>
      </c>
    </row>
    <row r="152" spans="1:7" ht="15.75">
      <c r="A152" s="106"/>
      <c r="B152" s="104" t="s">
        <v>697</v>
      </c>
      <c r="C152" s="105" t="s">
        <v>698</v>
      </c>
      <c r="D152" s="104" t="s">
        <v>14</v>
      </c>
      <c r="E152" s="104">
        <v>1</v>
      </c>
      <c r="F152" s="155">
        <f>ROUND(418.366,2)</f>
        <v>418.37</v>
      </c>
      <c r="G152" s="107">
        <f>ROUND(E152*F152,2)</f>
        <v>418.37</v>
      </c>
    </row>
    <row r="153" spans="1:7" ht="15.75">
      <c r="A153" s="106"/>
      <c r="B153" s="104"/>
      <c r="C153" s="105"/>
      <c r="D153" s="104"/>
      <c r="E153" s="104" t="s">
        <v>7</v>
      </c>
      <c r="F153" s="155"/>
      <c r="G153" s="107">
        <f>ROUND(SUM(G137:G152),2)</f>
        <v>2890.77</v>
      </c>
    </row>
    <row r="154" spans="1:7" ht="15.75">
      <c r="A154" s="26" t="s">
        <v>12</v>
      </c>
      <c r="B154" s="26" t="s">
        <v>156</v>
      </c>
      <c r="C154" s="27" t="s">
        <v>498</v>
      </c>
      <c r="D154" s="26" t="s">
        <v>0</v>
      </c>
      <c r="E154" s="26">
        <f>(3.5*3.1)+(0.8*2.1)</f>
        <v>12.53</v>
      </c>
      <c r="F154" s="26">
        <f>ROUND(F155,2)-0.01</f>
        <v>12.91</v>
      </c>
      <c r="G154" s="28">
        <f>ROUND((E154*F154),2)</f>
        <v>161.76</v>
      </c>
    </row>
    <row r="155" spans="1:7" ht="15.75">
      <c r="A155" s="57"/>
      <c r="B155" s="58" t="s">
        <v>699</v>
      </c>
      <c r="C155" s="59" t="s">
        <v>700</v>
      </c>
      <c r="D155" s="58" t="s">
        <v>0</v>
      </c>
      <c r="E155" s="58">
        <v>1</v>
      </c>
      <c r="F155" s="58">
        <f>ROUND(12.9162,2)</f>
        <v>12.92</v>
      </c>
      <c r="G155" s="60">
        <f>ROUND(E155*F155,2)</f>
        <v>12.92</v>
      </c>
    </row>
    <row r="156" spans="1:7" ht="30">
      <c r="A156" s="106"/>
      <c r="B156" s="104" t="s">
        <v>597</v>
      </c>
      <c r="C156" s="105" t="s">
        <v>598</v>
      </c>
      <c r="D156" s="104" t="s">
        <v>6</v>
      </c>
      <c r="E156" s="104">
        <v>1.03</v>
      </c>
      <c r="F156" s="104">
        <v>12.54</v>
      </c>
      <c r="G156" s="107">
        <f>ROUND(E156*F156,2)</f>
        <v>12.92</v>
      </c>
    </row>
    <row r="157" spans="1:7" ht="15.75">
      <c r="A157" s="106"/>
      <c r="B157" s="104"/>
      <c r="C157" s="105"/>
      <c r="D157" s="104"/>
      <c r="E157" s="104" t="s">
        <v>7</v>
      </c>
      <c r="F157" s="104"/>
      <c r="G157" s="107">
        <f>ROUND(SUM(G156:G156),2)</f>
        <v>12.92</v>
      </c>
    </row>
    <row r="158" spans="1:7" s="132" customFormat="1" ht="31.5">
      <c r="A158" s="130" t="s">
        <v>13</v>
      </c>
      <c r="B158" s="130" t="s">
        <v>266</v>
      </c>
      <c r="C158" s="131" t="s">
        <v>499</v>
      </c>
      <c r="D158" s="130" t="s">
        <v>3</v>
      </c>
      <c r="E158" s="252">
        <f>57+14</f>
        <v>71</v>
      </c>
      <c r="F158" s="130">
        <f>ROUND(F159,2)</f>
        <v>4.45</v>
      </c>
      <c r="G158" s="35">
        <f>ROUND((E158*F158),2)</f>
        <v>315.95</v>
      </c>
    </row>
    <row r="159" spans="1:7" s="132" customFormat="1" ht="30">
      <c r="A159" s="133"/>
      <c r="B159" s="134" t="s">
        <v>701</v>
      </c>
      <c r="C159" s="135" t="s">
        <v>702</v>
      </c>
      <c r="D159" s="134" t="s">
        <v>3</v>
      </c>
      <c r="E159" s="134">
        <v>1</v>
      </c>
      <c r="F159" s="134">
        <f>ROUND(4.45475,2)</f>
        <v>4.45</v>
      </c>
      <c r="G159" s="60">
        <f>ROUND(E159*F159,2)</f>
        <v>4.45</v>
      </c>
    </row>
    <row r="160" spans="1:7" s="132" customFormat="1" ht="30">
      <c r="A160" s="137"/>
      <c r="B160" s="138" t="s">
        <v>671</v>
      </c>
      <c r="C160" s="139" t="s">
        <v>672</v>
      </c>
      <c r="D160" s="138" t="s">
        <v>6</v>
      </c>
      <c r="E160" s="138">
        <v>0.2575</v>
      </c>
      <c r="F160" s="138">
        <v>17.3</v>
      </c>
      <c r="G160" s="107">
        <f>ROUND(E160*F160,2)</f>
        <v>4.45</v>
      </c>
    </row>
    <row r="161" spans="1:7" s="132" customFormat="1" ht="15.75">
      <c r="A161" s="137"/>
      <c r="B161" s="138"/>
      <c r="C161" s="139"/>
      <c r="D161" s="138"/>
      <c r="E161" s="138" t="s">
        <v>7</v>
      </c>
      <c r="F161" s="138"/>
      <c r="G161" s="107">
        <f>ROUND(SUM(G160:G160),2)</f>
        <v>4.45</v>
      </c>
    </row>
    <row r="162" spans="1:7" s="177" customFormat="1" ht="15.75">
      <c r="A162" s="144" t="s">
        <v>157</v>
      </c>
      <c r="B162" s="144" t="s">
        <v>156</v>
      </c>
      <c r="C162" s="145" t="s">
        <v>434</v>
      </c>
      <c r="D162" s="144" t="s">
        <v>0</v>
      </c>
      <c r="E162" s="144">
        <v>60.68</v>
      </c>
      <c r="F162" s="144">
        <f>ROUND(F163,2)-0.01</f>
        <v>12.91</v>
      </c>
      <c r="G162" s="28">
        <f>ROUND((E162*F162),2)</f>
        <v>783.38</v>
      </c>
    </row>
    <row r="163" spans="1:7" ht="15.75">
      <c r="A163" s="57"/>
      <c r="B163" s="58" t="s">
        <v>699</v>
      </c>
      <c r="C163" s="59" t="s">
        <v>700</v>
      </c>
      <c r="D163" s="58" t="s">
        <v>0</v>
      </c>
      <c r="E163" s="58">
        <v>1</v>
      </c>
      <c r="F163" s="58">
        <f>ROUND(12.9162,2)</f>
        <v>12.92</v>
      </c>
      <c r="G163" s="60">
        <f>ROUND(E163*F163,2)</f>
        <v>12.92</v>
      </c>
    </row>
    <row r="164" spans="1:7" ht="30">
      <c r="A164" s="106"/>
      <c r="B164" s="104" t="s">
        <v>597</v>
      </c>
      <c r="C164" s="105" t="s">
        <v>598</v>
      </c>
      <c r="D164" s="104" t="s">
        <v>6</v>
      </c>
      <c r="E164" s="104">
        <v>1.03</v>
      </c>
      <c r="F164" s="104">
        <v>12.54</v>
      </c>
      <c r="G164" s="107">
        <f>ROUND(E164*F164,2)</f>
        <v>12.92</v>
      </c>
    </row>
    <row r="165" spans="1:7" ht="15.75">
      <c r="A165" s="106"/>
      <c r="B165" s="104"/>
      <c r="C165" s="105"/>
      <c r="D165" s="104"/>
      <c r="E165" s="104" t="s">
        <v>7</v>
      </c>
      <c r="F165" s="104"/>
      <c r="G165" s="107">
        <f>ROUND(SUM(G164:G164),2)</f>
        <v>12.92</v>
      </c>
    </row>
    <row r="166" spans="1:9" s="132" customFormat="1" ht="31.5">
      <c r="A166" s="144" t="s">
        <v>158</v>
      </c>
      <c r="B166" s="144" t="str">
        <f>B167</f>
        <v>SI000097622</v>
      </c>
      <c r="C166" s="145" t="s">
        <v>500</v>
      </c>
      <c r="D166" s="144" t="s">
        <v>1</v>
      </c>
      <c r="E166" s="144">
        <v>1.74</v>
      </c>
      <c r="F166" s="146">
        <f>ROUND(F167,2)-0.01</f>
        <v>50.370000000000005</v>
      </c>
      <c r="G166" s="28">
        <f>ROUND((E166*F166),2)</f>
        <v>87.64</v>
      </c>
      <c r="H166" s="132">
        <f>0.24/E166</f>
        <v>0.13793103448275862</v>
      </c>
      <c r="I166" s="132">
        <f>H166*G166</f>
        <v>12.088275862068965</v>
      </c>
    </row>
    <row r="167" spans="1:7" ht="30">
      <c r="A167" s="57"/>
      <c r="B167" s="58" t="s">
        <v>1100</v>
      </c>
      <c r="C167" s="59" t="s">
        <v>1101</v>
      </c>
      <c r="D167" s="58" t="s">
        <v>1</v>
      </c>
      <c r="E167" s="58">
        <v>1</v>
      </c>
      <c r="F167" s="114">
        <f>G170</f>
        <v>50.38</v>
      </c>
      <c r="G167" s="60">
        <f>ROUND(E167*F167,2)</f>
        <v>50.38</v>
      </c>
    </row>
    <row r="168" spans="1:7" ht="15.75">
      <c r="A168" s="106"/>
      <c r="B168" s="104" t="s">
        <v>119</v>
      </c>
      <c r="C168" s="105" t="s">
        <v>120</v>
      </c>
      <c r="D168" s="104" t="s">
        <v>6</v>
      </c>
      <c r="E168" s="104">
        <v>2.3248</v>
      </c>
      <c r="F168" s="155">
        <f>ROUND(19.32,2)</f>
        <v>19.32</v>
      </c>
      <c r="G168" s="107">
        <f>ROUND(E168*F168,2)</f>
        <v>44.92</v>
      </c>
    </row>
    <row r="169" spans="1:7" ht="15.75">
      <c r="A169" s="106"/>
      <c r="B169" s="104" t="s">
        <v>121</v>
      </c>
      <c r="C169" s="105" t="s">
        <v>1102</v>
      </c>
      <c r="D169" s="104" t="s">
        <v>6</v>
      </c>
      <c r="E169" s="104">
        <v>0.225</v>
      </c>
      <c r="F169" s="155">
        <f>ROUND(24.27,2)</f>
        <v>24.27</v>
      </c>
      <c r="G169" s="107">
        <f>ROUND(E169*F169,2)</f>
        <v>5.46</v>
      </c>
    </row>
    <row r="170" spans="1:7" ht="15.75">
      <c r="A170" s="106"/>
      <c r="B170" s="104"/>
      <c r="C170" s="105"/>
      <c r="D170" s="104"/>
      <c r="E170" s="104" t="s">
        <v>7</v>
      </c>
      <c r="F170" s="155"/>
      <c r="G170" s="107">
        <f>ROUND(SUM(G168:G169),2)</f>
        <v>50.38</v>
      </c>
    </row>
    <row r="171" spans="1:11" s="132" customFormat="1" ht="30.75">
      <c r="A171" s="130" t="s">
        <v>159</v>
      </c>
      <c r="B171" s="130" t="str">
        <f>B172</f>
        <v>SI000097626</v>
      </c>
      <c r="C171" s="131" t="s">
        <v>501</v>
      </c>
      <c r="D171" s="130" t="s">
        <v>1</v>
      </c>
      <c r="E171" s="130">
        <v>3.51</v>
      </c>
      <c r="F171" s="130">
        <f>F177</f>
        <v>244.21</v>
      </c>
      <c r="G171" s="35">
        <f>ROUND((E171*F171),2)</f>
        <v>857.18</v>
      </c>
      <c r="H171" s="156" t="s">
        <v>164</v>
      </c>
      <c r="K171" s="132">
        <f>0.2/E171</f>
        <v>0.05698005698005699</v>
      </c>
    </row>
    <row r="172" spans="1:7" s="167" customFormat="1" ht="30">
      <c r="A172" s="133" t="s">
        <v>162</v>
      </c>
      <c r="B172" s="134" t="s">
        <v>1317</v>
      </c>
      <c r="C172" s="135" t="s">
        <v>1318</v>
      </c>
      <c r="D172" s="134" t="s">
        <v>1</v>
      </c>
      <c r="E172" s="134">
        <v>1</v>
      </c>
      <c r="F172" s="136">
        <f>G176</f>
        <v>522.27</v>
      </c>
      <c r="G172" s="60">
        <f>ROUND(E172*F172,2)</f>
        <v>522.27</v>
      </c>
    </row>
    <row r="173" spans="1:7" s="167" customFormat="1" ht="30">
      <c r="A173" s="137"/>
      <c r="B173" s="138" t="s">
        <v>1319</v>
      </c>
      <c r="C173" s="139" t="s">
        <v>1320</v>
      </c>
      <c r="D173" s="138" t="s">
        <v>5</v>
      </c>
      <c r="E173" s="138">
        <v>0.2835</v>
      </c>
      <c r="F173" s="143">
        <f>ROUND(10.16,2)</f>
        <v>10.16</v>
      </c>
      <c r="G173" s="107">
        <f>ROUND(E173*F173,2)</f>
        <v>2.88</v>
      </c>
    </row>
    <row r="174" spans="1:7" s="167" customFormat="1" ht="15.75">
      <c r="A174" s="137"/>
      <c r="B174" s="138" t="s">
        <v>119</v>
      </c>
      <c r="C174" s="139" t="s">
        <v>120</v>
      </c>
      <c r="D174" s="138" t="s">
        <v>6</v>
      </c>
      <c r="E174" s="138">
        <v>23.9693</v>
      </c>
      <c r="F174" s="143">
        <f>ROUND(19.32,2)</f>
        <v>19.32</v>
      </c>
      <c r="G174" s="107">
        <f>ROUND(E174*F174,2)</f>
        <v>463.09</v>
      </c>
    </row>
    <row r="175" spans="1:7" s="167" customFormat="1" ht="15.75">
      <c r="A175" s="137"/>
      <c r="B175" s="138" t="s">
        <v>121</v>
      </c>
      <c r="C175" s="139" t="s">
        <v>1102</v>
      </c>
      <c r="D175" s="138" t="s">
        <v>6</v>
      </c>
      <c r="E175" s="138">
        <v>2.3196</v>
      </c>
      <c r="F175" s="143">
        <f>ROUND(24.27,2)</f>
        <v>24.27</v>
      </c>
      <c r="G175" s="107">
        <f>ROUND(E175*F175,2)</f>
        <v>56.3</v>
      </c>
    </row>
    <row r="176" spans="1:7" s="167" customFormat="1" ht="15.75">
      <c r="A176" s="137"/>
      <c r="B176" s="138"/>
      <c r="C176" s="139"/>
      <c r="D176" s="138"/>
      <c r="E176" s="138" t="s">
        <v>7</v>
      </c>
      <c r="F176" s="143"/>
      <c r="G176" s="107">
        <f>ROUND(SUM(G173:G175),2)</f>
        <v>522.27</v>
      </c>
    </row>
    <row r="177" spans="1:7" ht="60">
      <c r="A177" s="106" t="s">
        <v>162</v>
      </c>
      <c r="B177" s="104" t="s">
        <v>703</v>
      </c>
      <c r="C177" s="105" t="s">
        <v>704</v>
      </c>
      <c r="D177" s="104" t="s">
        <v>1</v>
      </c>
      <c r="E177" s="104">
        <v>1</v>
      </c>
      <c r="F177" s="466">
        <f>ROUND(244.21094,2)</f>
        <v>244.21</v>
      </c>
      <c r="G177" s="107">
        <f>ROUND(E177*F177,2)</f>
        <v>244.21</v>
      </c>
    </row>
    <row r="178" spans="1:7" ht="30">
      <c r="A178" s="106"/>
      <c r="B178" s="104" t="s">
        <v>597</v>
      </c>
      <c r="C178" s="105" t="s">
        <v>598</v>
      </c>
      <c r="D178" s="104" t="s">
        <v>6</v>
      </c>
      <c r="E178" s="104">
        <v>17.201</v>
      </c>
      <c r="F178" s="104">
        <v>12.54</v>
      </c>
      <c r="G178" s="107">
        <f>ROUND(E178*F178,2)</f>
        <v>215.7</v>
      </c>
    </row>
    <row r="179" spans="1:7" ht="15.75">
      <c r="A179" s="106"/>
      <c r="B179" s="104" t="s">
        <v>692</v>
      </c>
      <c r="C179" s="105" t="s">
        <v>693</v>
      </c>
      <c r="D179" s="104" t="s">
        <v>6</v>
      </c>
      <c r="E179" s="104">
        <v>1.6480000000000001</v>
      </c>
      <c r="F179" s="104">
        <v>17.3</v>
      </c>
      <c r="G179" s="107">
        <f>ROUND(E179*F179,2)</f>
        <v>28.51</v>
      </c>
    </row>
    <row r="180" spans="1:7" ht="15.75">
      <c r="A180" s="106"/>
      <c r="B180" s="104"/>
      <c r="C180" s="105"/>
      <c r="D180" s="104"/>
      <c r="E180" s="104" t="s">
        <v>7</v>
      </c>
      <c r="F180" s="104"/>
      <c r="G180" s="107">
        <f>ROUND(SUM(G178:G179),2)</f>
        <v>244.21</v>
      </c>
    </row>
    <row r="181" spans="1:7" s="132" customFormat="1" ht="30">
      <c r="A181" s="148" t="s">
        <v>160</v>
      </c>
      <c r="B181" s="148" t="s">
        <v>163</v>
      </c>
      <c r="C181" s="149" t="s">
        <v>502</v>
      </c>
      <c r="D181" s="148" t="s">
        <v>1</v>
      </c>
      <c r="E181" s="271">
        <v>7.75</v>
      </c>
      <c r="F181" s="158">
        <f>ROUND(F182,2)-0.01</f>
        <v>116.91</v>
      </c>
      <c r="G181" s="53">
        <f>ROUND((E181*F181),2)</f>
        <v>906.05</v>
      </c>
    </row>
    <row r="182" spans="1:7" ht="45">
      <c r="A182" s="57"/>
      <c r="B182" s="58" t="s">
        <v>705</v>
      </c>
      <c r="C182" s="59" t="s">
        <v>706</v>
      </c>
      <c r="D182" s="58" t="s">
        <v>1</v>
      </c>
      <c r="E182" s="58">
        <v>1</v>
      </c>
      <c r="F182" s="114">
        <f>G185</f>
        <v>116.92</v>
      </c>
      <c r="G182" s="60">
        <f>ROUND(E182*F182,2)</f>
        <v>116.92</v>
      </c>
    </row>
    <row r="183" spans="1:7" ht="15.75">
      <c r="A183" s="106"/>
      <c r="B183" s="104" t="s">
        <v>707</v>
      </c>
      <c r="C183" s="105" t="s">
        <v>708</v>
      </c>
      <c r="D183" s="104" t="s">
        <v>0</v>
      </c>
      <c r="E183" s="104">
        <v>2.85</v>
      </c>
      <c r="F183" s="155">
        <v>22.8042</v>
      </c>
      <c r="G183" s="107">
        <f>ROUND(E183*F183,2)</f>
        <v>64.99</v>
      </c>
    </row>
    <row r="184" spans="1:7" ht="15.75">
      <c r="A184" s="106"/>
      <c r="B184" s="104" t="s">
        <v>709</v>
      </c>
      <c r="C184" s="105" t="s">
        <v>710</v>
      </c>
      <c r="D184" s="104" t="s">
        <v>0</v>
      </c>
      <c r="E184" s="104">
        <v>2.85</v>
      </c>
      <c r="F184" s="155">
        <v>18.2208</v>
      </c>
      <c r="G184" s="107">
        <f>ROUND(E184*F184,2)</f>
        <v>51.93</v>
      </c>
    </row>
    <row r="185" spans="1:7" ht="15.75">
      <c r="A185" s="106"/>
      <c r="B185" s="104"/>
      <c r="C185" s="105"/>
      <c r="D185" s="104"/>
      <c r="E185" s="104" t="s">
        <v>7</v>
      </c>
      <c r="F185" s="155"/>
      <c r="G185" s="107">
        <f>ROUND(SUM(G183:G184),2)</f>
        <v>116.92</v>
      </c>
    </row>
    <row r="186" spans="1:8" s="132" customFormat="1" ht="15.75">
      <c r="A186" s="144" t="s">
        <v>161</v>
      </c>
      <c r="B186" s="144" t="s">
        <v>166</v>
      </c>
      <c r="C186" s="145" t="s">
        <v>503</v>
      </c>
      <c r="D186" s="144" t="s">
        <v>0</v>
      </c>
      <c r="E186" s="144">
        <v>14.94</v>
      </c>
      <c r="F186" s="144">
        <f>F187</f>
        <v>4.52</v>
      </c>
      <c r="G186" s="28">
        <f>ROUND((E186*F186),2)</f>
        <v>67.53</v>
      </c>
      <c r="H186" s="156"/>
    </row>
    <row r="187" spans="1:7" ht="30">
      <c r="A187" s="57"/>
      <c r="B187" s="58" t="s">
        <v>711</v>
      </c>
      <c r="C187" s="59" t="s">
        <v>712</v>
      </c>
      <c r="D187" s="58" t="s">
        <v>0</v>
      </c>
      <c r="E187" s="58">
        <v>1</v>
      </c>
      <c r="F187" s="58">
        <f>ROUND(4.52067,2)</f>
        <v>4.52</v>
      </c>
      <c r="G187" s="60">
        <f>ROUND(E187*F187,2)</f>
        <v>4.52</v>
      </c>
    </row>
    <row r="188" spans="1:7" ht="30">
      <c r="A188" s="106"/>
      <c r="B188" s="104" t="s">
        <v>597</v>
      </c>
      <c r="C188" s="105" t="s">
        <v>598</v>
      </c>
      <c r="D188" s="104" t="s">
        <v>6</v>
      </c>
      <c r="E188" s="104">
        <v>0.3605</v>
      </c>
      <c r="F188" s="104">
        <v>12.54</v>
      </c>
      <c r="G188" s="107">
        <f>ROUND(E188*F188,2)</f>
        <v>4.52</v>
      </c>
    </row>
    <row r="189" spans="1:7" ht="15.75">
      <c r="A189" s="106"/>
      <c r="B189" s="104"/>
      <c r="C189" s="105"/>
      <c r="D189" s="104"/>
      <c r="E189" s="104" t="s">
        <v>7</v>
      </c>
      <c r="F189" s="104"/>
      <c r="G189" s="107">
        <f>ROUND(SUM(G188:G188),2)</f>
        <v>4.52</v>
      </c>
    </row>
    <row r="190" spans="1:8" s="132" customFormat="1" ht="30">
      <c r="A190" s="144" t="s">
        <v>165</v>
      </c>
      <c r="B190" s="144" t="s">
        <v>168</v>
      </c>
      <c r="C190" s="145" t="s">
        <v>504</v>
      </c>
      <c r="D190" s="144" t="s">
        <v>3</v>
      </c>
      <c r="E190" s="279">
        <v>24</v>
      </c>
      <c r="F190" s="144">
        <f>F191-0.01</f>
        <v>14.200000000000001</v>
      </c>
      <c r="G190" s="28">
        <f>ROUND((E190*F190),2)</f>
        <v>340.8</v>
      </c>
      <c r="H190" s="156"/>
    </row>
    <row r="191" spans="1:7" ht="45">
      <c r="A191" s="106"/>
      <c r="B191" s="104" t="s">
        <v>713</v>
      </c>
      <c r="C191" s="105" t="s">
        <v>714</v>
      </c>
      <c r="D191" s="104" t="s">
        <v>3</v>
      </c>
      <c r="E191" s="104">
        <v>1</v>
      </c>
      <c r="F191" s="104">
        <f>ROUND(14.20782,2)</f>
        <v>14.21</v>
      </c>
      <c r="G191" s="107">
        <f>ROUND(E191*F191,2)</f>
        <v>14.21</v>
      </c>
    </row>
    <row r="192" spans="1:7" ht="30">
      <c r="A192" s="106"/>
      <c r="B192" s="104" t="s">
        <v>597</v>
      </c>
      <c r="C192" s="105" t="s">
        <v>598</v>
      </c>
      <c r="D192" s="104" t="s">
        <v>6</v>
      </c>
      <c r="E192" s="104">
        <v>1.1330000000000002</v>
      </c>
      <c r="F192" s="104">
        <v>12.54</v>
      </c>
      <c r="G192" s="107">
        <f>ROUND(E192*F192,2)</f>
        <v>14.21</v>
      </c>
    </row>
    <row r="193" spans="1:7" ht="15.75">
      <c r="A193" s="106"/>
      <c r="B193" s="104"/>
      <c r="C193" s="105"/>
      <c r="D193" s="104"/>
      <c r="E193" s="104" t="s">
        <v>7</v>
      </c>
      <c r="F193" s="104"/>
      <c r="G193" s="107">
        <f>ROUND(SUM(G192:G192),2)</f>
        <v>14.21</v>
      </c>
    </row>
    <row r="194" spans="1:7" s="157" customFormat="1" ht="15.75">
      <c r="A194" s="144" t="s">
        <v>167</v>
      </c>
      <c r="B194" s="144" t="s">
        <v>342</v>
      </c>
      <c r="C194" s="145" t="s">
        <v>505</v>
      </c>
      <c r="D194" s="144" t="s">
        <v>14</v>
      </c>
      <c r="E194" s="279">
        <v>1</v>
      </c>
      <c r="F194" s="146">
        <f>F195-0.01</f>
        <v>30.729999999999997</v>
      </c>
      <c r="G194" s="28">
        <f>ROUND((E194*F194),2)</f>
        <v>30.73</v>
      </c>
    </row>
    <row r="195" spans="1:7" ht="30">
      <c r="A195" s="106"/>
      <c r="B195" s="104" t="s">
        <v>715</v>
      </c>
      <c r="C195" s="105" t="s">
        <v>716</v>
      </c>
      <c r="D195" s="104" t="s">
        <v>3</v>
      </c>
      <c r="E195" s="104">
        <v>1</v>
      </c>
      <c r="F195" s="155">
        <f>ROUND(30.7352,2)</f>
        <v>30.74</v>
      </c>
      <c r="G195" s="107">
        <f>ROUND(E195*F195,2)</f>
        <v>30.74</v>
      </c>
    </row>
    <row r="196" spans="1:7" ht="30">
      <c r="A196" s="106"/>
      <c r="B196" s="104" t="s">
        <v>597</v>
      </c>
      <c r="C196" s="105" t="s">
        <v>598</v>
      </c>
      <c r="D196" s="104" t="s">
        <v>6</v>
      </c>
      <c r="E196" s="104">
        <v>1.03</v>
      </c>
      <c r="F196" s="155">
        <v>12.54</v>
      </c>
      <c r="G196" s="107">
        <f>ROUND(E196*F196,2)</f>
        <v>12.92</v>
      </c>
    </row>
    <row r="197" spans="1:7" ht="15.75">
      <c r="A197" s="106"/>
      <c r="B197" s="104" t="s">
        <v>692</v>
      </c>
      <c r="C197" s="105" t="s">
        <v>693</v>
      </c>
      <c r="D197" s="104" t="s">
        <v>6</v>
      </c>
      <c r="E197" s="104">
        <v>1.03</v>
      </c>
      <c r="F197" s="155">
        <v>17.3</v>
      </c>
      <c r="G197" s="107">
        <f>ROUND(E197*F197,2)</f>
        <v>17.82</v>
      </c>
    </row>
    <row r="198" spans="1:7" ht="15.75">
      <c r="A198" s="106"/>
      <c r="B198" s="104"/>
      <c r="C198" s="105"/>
      <c r="D198" s="104"/>
      <c r="E198" s="104" t="s">
        <v>7</v>
      </c>
      <c r="F198" s="155"/>
      <c r="G198" s="107">
        <f>ROUND(SUM(G196:G197),2)</f>
        <v>30.74</v>
      </c>
    </row>
    <row r="199" spans="1:8" s="132" customFormat="1" ht="30">
      <c r="A199" s="144" t="s">
        <v>169</v>
      </c>
      <c r="B199" s="144" t="str">
        <f>B200</f>
        <v>SI000098532</v>
      </c>
      <c r="C199" s="145" t="s">
        <v>506</v>
      </c>
      <c r="D199" s="144" t="s">
        <v>14</v>
      </c>
      <c r="E199" s="279">
        <v>1</v>
      </c>
      <c r="F199" s="146">
        <f>F206-0.01</f>
        <v>55.010000000000005</v>
      </c>
      <c r="G199" s="28">
        <f>ROUND((E199*F199),2)</f>
        <v>55.01</v>
      </c>
      <c r="H199" s="156" t="s">
        <v>164</v>
      </c>
    </row>
    <row r="200" spans="1:7" ht="30">
      <c r="A200" s="106"/>
      <c r="B200" s="104" t="s">
        <v>1103</v>
      </c>
      <c r="C200" s="105" t="s">
        <v>1104</v>
      </c>
      <c r="D200" s="104" t="s">
        <v>14</v>
      </c>
      <c r="E200" s="104">
        <v>1</v>
      </c>
      <c r="F200" s="155">
        <f>G205</f>
        <v>71.33</v>
      </c>
      <c r="G200" s="107">
        <f>ROUND(E200*F200,2)</f>
        <v>71.33</v>
      </c>
    </row>
    <row r="201" spans="1:7" ht="15.75">
      <c r="A201" s="106"/>
      <c r="B201" s="104" t="s">
        <v>1105</v>
      </c>
      <c r="C201" s="105" t="s">
        <v>1106</v>
      </c>
      <c r="D201" s="104" t="s">
        <v>6</v>
      </c>
      <c r="E201" s="104">
        <v>0.6921</v>
      </c>
      <c r="F201" s="155">
        <f>ROUND(23.48,2)</f>
        <v>23.48</v>
      </c>
      <c r="G201" s="107">
        <f>ROUND(E201*F201,2)</f>
        <v>16.25</v>
      </c>
    </row>
    <row r="202" spans="1:7" ht="15.75">
      <c r="A202" s="106"/>
      <c r="B202" s="104" t="s">
        <v>119</v>
      </c>
      <c r="C202" s="105" t="s">
        <v>120</v>
      </c>
      <c r="D202" s="104" t="s">
        <v>6</v>
      </c>
      <c r="E202" s="104">
        <v>0.6921</v>
      </c>
      <c r="F202" s="155">
        <f>ROUND(19.32,2)</f>
        <v>19.32</v>
      </c>
      <c r="G202" s="107">
        <f>ROUND(E202*F202,2)</f>
        <v>13.37</v>
      </c>
    </row>
    <row r="203" spans="1:7" ht="45">
      <c r="A203" s="106"/>
      <c r="B203" s="104" t="s">
        <v>1107</v>
      </c>
      <c r="C203" s="105" t="s">
        <v>1321</v>
      </c>
      <c r="D203" s="104" t="s">
        <v>142</v>
      </c>
      <c r="E203" s="104">
        <v>0.4873</v>
      </c>
      <c r="F203" s="155">
        <f>ROUND(29.24,2)</f>
        <v>29.24</v>
      </c>
      <c r="G203" s="107">
        <f>ROUND(E203*F203,2)</f>
        <v>14.25</v>
      </c>
    </row>
    <row r="204" spans="1:7" ht="45">
      <c r="A204" s="106"/>
      <c r="B204" s="104" t="s">
        <v>1108</v>
      </c>
      <c r="C204" s="105" t="s">
        <v>1322</v>
      </c>
      <c r="D204" s="104" t="s">
        <v>143</v>
      </c>
      <c r="E204" s="104">
        <v>0.2048</v>
      </c>
      <c r="F204" s="155">
        <f>ROUND(134.09,2)</f>
        <v>134.09</v>
      </c>
      <c r="G204" s="107">
        <f>ROUND(E204*F204,2)</f>
        <v>27.46</v>
      </c>
    </row>
    <row r="205" spans="1:7" ht="15.75">
      <c r="A205" s="106"/>
      <c r="B205" s="104"/>
      <c r="C205" s="105"/>
      <c r="D205" s="104"/>
      <c r="E205" s="104" t="s">
        <v>7</v>
      </c>
      <c r="F205" s="155"/>
      <c r="G205" s="107">
        <f>ROUND(SUM(G201:G204),2)</f>
        <v>71.33</v>
      </c>
    </row>
    <row r="206" spans="1:7" ht="15.75">
      <c r="A206" s="137"/>
      <c r="B206" s="138" t="s">
        <v>717</v>
      </c>
      <c r="C206" s="139" t="s">
        <v>718</v>
      </c>
      <c r="D206" s="138" t="s">
        <v>14</v>
      </c>
      <c r="E206" s="138">
        <v>1</v>
      </c>
      <c r="F206" s="465">
        <f>G209</f>
        <v>55.02</v>
      </c>
      <c r="G206" s="107">
        <f>ROUND(E206*F206,2)</f>
        <v>55.02</v>
      </c>
    </row>
    <row r="207" spans="1:7" ht="30">
      <c r="A207" s="137"/>
      <c r="B207" s="138" t="s">
        <v>719</v>
      </c>
      <c r="C207" s="139" t="s">
        <v>720</v>
      </c>
      <c r="D207" s="138" t="s">
        <v>6</v>
      </c>
      <c r="E207" s="138">
        <v>5.15</v>
      </c>
      <c r="F207" s="143">
        <v>10.39</v>
      </c>
      <c r="G207" s="107">
        <f>ROUND(E207*F207,2)</f>
        <v>53.51</v>
      </c>
    </row>
    <row r="208" spans="1:7" ht="15.75">
      <c r="A208" s="137"/>
      <c r="B208" s="138" t="s">
        <v>721</v>
      </c>
      <c r="C208" s="139" t="s">
        <v>722</v>
      </c>
      <c r="D208" s="138" t="s">
        <v>6</v>
      </c>
      <c r="E208" s="138">
        <v>0.031</v>
      </c>
      <c r="F208" s="143">
        <v>48.7601</v>
      </c>
      <c r="G208" s="107">
        <f>ROUND(E208*F208,2)</f>
        <v>1.51</v>
      </c>
    </row>
    <row r="209" spans="1:7" ht="15.75">
      <c r="A209" s="137"/>
      <c r="B209" s="138"/>
      <c r="C209" s="139"/>
      <c r="D209" s="138"/>
      <c r="E209" s="138" t="s">
        <v>7</v>
      </c>
      <c r="F209" s="143"/>
      <c r="G209" s="107">
        <f>ROUND(SUM(G207:G208),2)</f>
        <v>55.02</v>
      </c>
    </row>
    <row r="210" spans="1:8" s="132" customFormat="1" ht="31.5">
      <c r="A210" s="144" t="s">
        <v>170</v>
      </c>
      <c r="B210" s="144" t="str">
        <f>B211</f>
        <v>Si0073806/001</v>
      </c>
      <c r="C210" s="145" t="s">
        <v>507</v>
      </c>
      <c r="D210" s="144" t="s">
        <v>263</v>
      </c>
      <c r="E210" s="144">
        <v>297.75</v>
      </c>
      <c r="F210" s="146">
        <f>F211-0.01</f>
        <v>1.97</v>
      </c>
      <c r="G210" s="28">
        <f>ROUND((E210*F210),2)</f>
        <v>586.57</v>
      </c>
      <c r="H210" s="156"/>
    </row>
    <row r="211" spans="1:7" ht="15.75">
      <c r="A211" s="137"/>
      <c r="B211" s="138" t="s">
        <v>1539</v>
      </c>
      <c r="C211" s="139" t="s">
        <v>435</v>
      </c>
      <c r="D211" s="138" t="s">
        <v>0</v>
      </c>
      <c r="E211" s="138">
        <v>1</v>
      </c>
      <c r="F211" s="143">
        <f>G214</f>
        <v>1.98</v>
      </c>
      <c r="G211" s="107">
        <f>ROUND(E211*F211,2)</f>
        <v>1.98</v>
      </c>
    </row>
    <row r="212" spans="1:7" ht="15.75">
      <c r="A212" s="137"/>
      <c r="B212" s="138" t="s">
        <v>119</v>
      </c>
      <c r="C212" s="139" t="s">
        <v>120</v>
      </c>
      <c r="D212" s="138" t="s">
        <v>6</v>
      </c>
      <c r="E212" s="138">
        <v>0.1</v>
      </c>
      <c r="F212" s="138">
        <f>ROUND(19.32,2)</f>
        <v>19.32</v>
      </c>
      <c r="G212" s="107">
        <f>ROUND(E212*F212,2)</f>
        <v>1.93</v>
      </c>
    </row>
    <row r="213" spans="1:7" ht="30">
      <c r="A213" s="137"/>
      <c r="B213" s="138" t="s">
        <v>1109</v>
      </c>
      <c r="C213" s="139" t="s">
        <v>436</v>
      </c>
      <c r="D213" s="138" t="s">
        <v>14</v>
      </c>
      <c r="E213" s="138">
        <v>2.5E-05</v>
      </c>
      <c r="F213" s="138">
        <f>ROUND(1956,2)</f>
        <v>1956</v>
      </c>
      <c r="G213" s="107">
        <f>ROUND(E213*F213,2)</f>
        <v>0.05</v>
      </c>
    </row>
    <row r="214" spans="1:7" ht="15.75">
      <c r="A214" s="137"/>
      <c r="B214" s="138"/>
      <c r="C214" s="139"/>
      <c r="D214" s="138"/>
      <c r="E214" s="138" t="s">
        <v>7</v>
      </c>
      <c r="F214" s="138"/>
      <c r="G214" s="107">
        <f>ROUND(SUM(G212:G213),2)</f>
        <v>1.98</v>
      </c>
    </row>
    <row r="215" spans="1:7" s="172" customFormat="1" ht="15.75">
      <c r="A215" s="170" t="s">
        <v>162</v>
      </c>
      <c r="B215" s="170"/>
      <c r="C215" s="171"/>
      <c r="D215" s="170"/>
      <c r="E215" s="170"/>
      <c r="F215" s="170" t="s">
        <v>265</v>
      </c>
      <c r="G215" s="169">
        <f>G13+G33+G112+G135+G154+G158+G162+G166+G171+G181+G186+G190+G194+G199+G210</f>
        <v>16172.639999999998</v>
      </c>
    </row>
    <row r="216" spans="1:7" s="117" customFormat="1" ht="15.75">
      <c r="A216" s="127" t="s">
        <v>34</v>
      </c>
      <c r="B216" s="127"/>
      <c r="C216" s="128" t="s">
        <v>123</v>
      </c>
      <c r="D216" s="127"/>
      <c r="E216" s="127"/>
      <c r="F216" s="127"/>
      <c r="G216" s="127"/>
    </row>
    <row r="217" spans="1:7" s="117" customFormat="1" ht="15.75">
      <c r="A217" s="127" t="s">
        <v>162</v>
      </c>
      <c r="B217" s="127"/>
      <c r="C217" s="128" t="s">
        <v>1166</v>
      </c>
      <c r="D217" s="127"/>
      <c r="E217" s="127"/>
      <c r="F217" s="127"/>
      <c r="G217" s="127"/>
    </row>
    <row r="218" spans="1:7" s="117" customFormat="1" ht="15.75">
      <c r="A218" s="127" t="s">
        <v>162</v>
      </c>
      <c r="B218" s="127"/>
      <c r="C218" s="128" t="s">
        <v>398</v>
      </c>
      <c r="D218" s="127"/>
      <c r="E218" s="127"/>
      <c r="F218" s="127"/>
      <c r="G218" s="127"/>
    </row>
    <row r="219" spans="1:7" s="132" customFormat="1" ht="15.75">
      <c r="A219" s="148" t="s">
        <v>171</v>
      </c>
      <c r="B219" s="148" t="s">
        <v>1272</v>
      </c>
      <c r="C219" s="149" t="s">
        <v>508</v>
      </c>
      <c r="D219" s="148" t="s">
        <v>3</v>
      </c>
      <c r="E219" s="271">
        <f>18+4</f>
        <v>22</v>
      </c>
      <c r="F219" s="148">
        <f>ROUND(F220,2)</f>
        <v>18.08</v>
      </c>
      <c r="G219" s="53">
        <f>ROUND((E219*F219),2)</f>
        <v>397.76</v>
      </c>
    </row>
    <row r="220" spans="1:7" s="132" customFormat="1" ht="30">
      <c r="A220" s="133"/>
      <c r="B220" s="134" t="s">
        <v>723</v>
      </c>
      <c r="C220" s="135" t="s">
        <v>724</v>
      </c>
      <c r="D220" s="134" t="s">
        <v>3</v>
      </c>
      <c r="E220" s="134">
        <v>1</v>
      </c>
      <c r="F220" s="134">
        <f>ROUND(18.08268,2)</f>
        <v>18.08</v>
      </c>
      <c r="G220" s="60">
        <f>ROUND(E220*F220,2)</f>
        <v>18.08</v>
      </c>
    </row>
    <row r="221" spans="1:7" s="132" customFormat="1" ht="30">
      <c r="A221" s="137"/>
      <c r="B221" s="138" t="s">
        <v>597</v>
      </c>
      <c r="C221" s="139" t="s">
        <v>598</v>
      </c>
      <c r="D221" s="138" t="s">
        <v>6</v>
      </c>
      <c r="E221" s="138">
        <v>1.442</v>
      </c>
      <c r="F221" s="138">
        <v>12.54</v>
      </c>
      <c r="G221" s="107">
        <f>ROUND(E221*F221,2)</f>
        <v>18.08</v>
      </c>
    </row>
    <row r="222" spans="1:7" s="132" customFormat="1" ht="15.75">
      <c r="A222" s="137"/>
      <c r="B222" s="138"/>
      <c r="C222" s="139"/>
      <c r="D222" s="138"/>
      <c r="E222" s="138" t="s">
        <v>7</v>
      </c>
      <c r="F222" s="138"/>
      <c r="G222" s="107">
        <f>ROUND(SUM(G221:G221),2)</f>
        <v>18.08</v>
      </c>
    </row>
    <row r="223" spans="1:7" s="121" customFormat="1" ht="30.75">
      <c r="A223" s="144" t="s">
        <v>172</v>
      </c>
      <c r="B223" s="144" t="s">
        <v>1273</v>
      </c>
      <c r="C223" s="145" t="s">
        <v>509</v>
      </c>
      <c r="D223" s="144" t="s">
        <v>1</v>
      </c>
      <c r="E223" s="144">
        <f>1.27+0.28</f>
        <v>1.55</v>
      </c>
      <c r="F223" s="146">
        <f>ROUND(F224,2)</f>
        <v>407.62</v>
      </c>
      <c r="G223" s="28">
        <f>ROUND((E223*F223),2)</f>
        <v>631.81</v>
      </c>
    </row>
    <row r="224" spans="1:7" s="121" customFormat="1" ht="45">
      <c r="A224" s="133"/>
      <c r="B224" s="134" t="s">
        <v>725</v>
      </c>
      <c r="C224" s="135" t="s">
        <v>726</v>
      </c>
      <c r="D224" s="134" t="s">
        <v>1</v>
      </c>
      <c r="E224" s="134">
        <v>1</v>
      </c>
      <c r="F224" s="136">
        <f>G228</f>
        <v>407.62</v>
      </c>
      <c r="G224" s="60">
        <f>ROUND(E224*F224,2)</f>
        <v>407.62</v>
      </c>
    </row>
    <row r="225" spans="1:7" s="121" customFormat="1" ht="15.75">
      <c r="A225" s="137"/>
      <c r="B225" s="138" t="s">
        <v>727</v>
      </c>
      <c r="C225" s="139" t="s">
        <v>728</v>
      </c>
      <c r="D225" s="138" t="s">
        <v>1</v>
      </c>
      <c r="E225" s="138">
        <v>1</v>
      </c>
      <c r="F225" s="138">
        <v>90.0417</v>
      </c>
      <c r="G225" s="107">
        <f>ROUND(E225*F225,2)</f>
        <v>90.04</v>
      </c>
    </row>
    <row r="226" spans="1:7" s="121" customFormat="1" ht="15.75">
      <c r="A226" s="137"/>
      <c r="B226" s="138" t="s">
        <v>681</v>
      </c>
      <c r="C226" s="139" t="s">
        <v>682</v>
      </c>
      <c r="D226" s="138" t="s">
        <v>1</v>
      </c>
      <c r="E226" s="138">
        <v>1</v>
      </c>
      <c r="F226" s="138">
        <v>62.4331</v>
      </c>
      <c r="G226" s="107">
        <f>ROUND(E226*F226,2)</f>
        <v>62.43</v>
      </c>
    </row>
    <row r="227" spans="1:7" s="121" customFormat="1" ht="15.75">
      <c r="A227" s="137"/>
      <c r="B227" s="138" t="s">
        <v>729</v>
      </c>
      <c r="C227" s="139" t="s">
        <v>730</v>
      </c>
      <c r="D227" s="138" t="s">
        <v>1</v>
      </c>
      <c r="E227" s="138">
        <v>1</v>
      </c>
      <c r="F227" s="138">
        <v>255.1534</v>
      </c>
      <c r="G227" s="107">
        <f>ROUND(E227*F227,2)</f>
        <v>255.15</v>
      </c>
    </row>
    <row r="228" spans="1:7" s="121" customFormat="1" ht="15.75">
      <c r="A228" s="137"/>
      <c r="B228" s="138"/>
      <c r="C228" s="139"/>
      <c r="D228" s="138"/>
      <c r="E228" s="138" t="s">
        <v>7</v>
      </c>
      <c r="F228" s="138"/>
      <c r="G228" s="107">
        <f>ROUND(SUM(G225:G227),2)</f>
        <v>407.62</v>
      </c>
    </row>
    <row r="229" spans="1:8" s="121" customFormat="1" ht="45.75">
      <c r="A229" s="144" t="s">
        <v>173</v>
      </c>
      <c r="B229" s="144" t="s">
        <v>1274</v>
      </c>
      <c r="C229" s="145" t="s">
        <v>510</v>
      </c>
      <c r="D229" s="144" t="s">
        <v>5</v>
      </c>
      <c r="E229" s="144">
        <f>22.07+4.9</f>
        <v>26.97</v>
      </c>
      <c r="F229" s="146">
        <f>F230-0.01</f>
        <v>3.7100000000000004</v>
      </c>
      <c r="G229" s="28">
        <f>ROUND((E229*F229),2)</f>
        <v>100.06</v>
      </c>
      <c r="H229" s="156" t="s">
        <v>164</v>
      </c>
    </row>
    <row r="230" spans="1:7" s="121" customFormat="1" ht="60">
      <c r="A230" s="137"/>
      <c r="B230" s="138" t="s">
        <v>731</v>
      </c>
      <c r="C230" s="139" t="s">
        <v>732</v>
      </c>
      <c r="D230" s="138" t="s">
        <v>5</v>
      </c>
      <c r="E230" s="138">
        <v>1</v>
      </c>
      <c r="F230" s="143">
        <f>G233</f>
        <v>3.72</v>
      </c>
      <c r="G230" s="107">
        <f>ROUND(E230*F230,2)</f>
        <v>3.72</v>
      </c>
    </row>
    <row r="231" spans="1:7" s="121" customFormat="1" ht="15.75">
      <c r="A231" s="137"/>
      <c r="B231" s="138" t="s">
        <v>324</v>
      </c>
      <c r="C231" s="139" t="s">
        <v>733</v>
      </c>
      <c r="D231" s="138" t="s">
        <v>5</v>
      </c>
      <c r="E231" s="138">
        <v>1.1</v>
      </c>
      <c r="F231" s="143">
        <v>3.206</v>
      </c>
      <c r="G231" s="107">
        <f>ROUND(E231*F231,2)</f>
        <v>3.53</v>
      </c>
    </row>
    <row r="232" spans="1:7" s="121" customFormat="1" ht="15.75">
      <c r="A232" s="137"/>
      <c r="B232" s="138" t="s">
        <v>25</v>
      </c>
      <c r="C232" s="139" t="s">
        <v>734</v>
      </c>
      <c r="D232" s="138" t="s">
        <v>5</v>
      </c>
      <c r="E232" s="138">
        <v>0.03</v>
      </c>
      <c r="F232" s="143">
        <v>6.4</v>
      </c>
      <c r="G232" s="107">
        <f>ROUND(E232*F232,2)</f>
        <v>0.19</v>
      </c>
    </row>
    <row r="233" spans="1:7" s="121" customFormat="1" ht="15.75">
      <c r="A233" s="137"/>
      <c r="B233" s="138"/>
      <c r="C233" s="139"/>
      <c r="D233" s="138"/>
      <c r="E233" s="138" t="s">
        <v>7</v>
      </c>
      <c r="F233" s="143"/>
      <c r="G233" s="107">
        <f>ROUND(SUM(G231:G232),2)</f>
        <v>3.72</v>
      </c>
    </row>
    <row r="234" spans="1:7" s="121" customFormat="1" ht="30.75">
      <c r="A234" s="144" t="s">
        <v>174</v>
      </c>
      <c r="B234" s="144" t="s">
        <v>1010</v>
      </c>
      <c r="C234" s="145" t="s">
        <v>511</v>
      </c>
      <c r="D234" s="144" t="s">
        <v>5</v>
      </c>
      <c r="E234" s="144">
        <f>E229</f>
        <v>26.97</v>
      </c>
      <c r="F234" s="146">
        <f>ROUND(F235,2)-0.02</f>
        <v>12.08</v>
      </c>
      <c r="G234" s="28">
        <f>ROUND((E234*F234),2)</f>
        <v>325.8</v>
      </c>
    </row>
    <row r="235" spans="1:7" s="121" customFormat="1" ht="30">
      <c r="A235" s="133"/>
      <c r="B235" s="134" t="s">
        <v>1110</v>
      </c>
      <c r="C235" s="135" t="s">
        <v>1111</v>
      </c>
      <c r="D235" s="134" t="s">
        <v>5</v>
      </c>
      <c r="E235" s="134">
        <v>1</v>
      </c>
      <c r="F235" s="136">
        <f>G241-0.01</f>
        <v>12.1</v>
      </c>
      <c r="G235" s="60">
        <f>ROUND(E235*F235,2)</f>
        <v>12.1</v>
      </c>
    </row>
    <row r="236" spans="1:7" s="121" customFormat="1" ht="30">
      <c r="A236" s="137"/>
      <c r="B236" s="138" t="s">
        <v>1112</v>
      </c>
      <c r="C236" s="139" t="s">
        <v>1113</v>
      </c>
      <c r="D236" s="138" t="s">
        <v>14</v>
      </c>
      <c r="E236" s="138">
        <v>1.19</v>
      </c>
      <c r="F236" s="143">
        <v>0.25</v>
      </c>
      <c r="G236" s="107">
        <f>ROUND(E236*F236,2)</f>
        <v>0.3</v>
      </c>
    </row>
    <row r="237" spans="1:7" s="121" customFormat="1" ht="15.75">
      <c r="A237" s="137"/>
      <c r="B237" s="138" t="s">
        <v>1114</v>
      </c>
      <c r="C237" s="139" t="s">
        <v>1115</v>
      </c>
      <c r="D237" s="138" t="s">
        <v>5</v>
      </c>
      <c r="E237" s="138">
        <v>0.025</v>
      </c>
      <c r="F237" s="143">
        <v>12.9</v>
      </c>
      <c r="G237" s="107">
        <f>ROUND(E237*F237,2)</f>
        <v>0.32</v>
      </c>
    </row>
    <row r="238" spans="1:7" s="121" customFormat="1" ht="15.75">
      <c r="A238" s="137"/>
      <c r="B238" s="138" t="s">
        <v>1116</v>
      </c>
      <c r="C238" s="139" t="s">
        <v>1117</v>
      </c>
      <c r="D238" s="138" t="s">
        <v>6</v>
      </c>
      <c r="E238" s="138">
        <v>0.151</v>
      </c>
      <c r="F238" s="143">
        <f>ROUND(24.13,2)</f>
        <v>24.13</v>
      </c>
      <c r="G238" s="107">
        <f>ROUND(E238*F238,2)</f>
        <v>3.64</v>
      </c>
    </row>
    <row r="239" spans="1:7" s="121" customFormat="1" ht="15.75">
      <c r="A239" s="137"/>
      <c r="B239" s="138" t="s">
        <v>1118</v>
      </c>
      <c r="C239" s="139" t="s">
        <v>1119</v>
      </c>
      <c r="D239" s="138" t="s">
        <v>6</v>
      </c>
      <c r="E239" s="138">
        <v>0.049</v>
      </c>
      <c r="F239" s="143">
        <f>ROUND(18.91,2)</f>
        <v>18.91</v>
      </c>
      <c r="G239" s="107">
        <f>ROUND(E239*F239,2)</f>
        <v>0.93</v>
      </c>
    </row>
    <row r="240" spans="1:7" s="121" customFormat="1" ht="30">
      <c r="A240" s="137"/>
      <c r="B240" s="138" t="s">
        <v>1120</v>
      </c>
      <c r="C240" s="139" t="s">
        <v>1323</v>
      </c>
      <c r="D240" s="138" t="s">
        <v>5</v>
      </c>
      <c r="E240" s="138">
        <v>1</v>
      </c>
      <c r="F240" s="143">
        <f>ROUND(6.924429,2)</f>
        <v>6.92</v>
      </c>
      <c r="G240" s="107">
        <f>ROUND(E240*F240,2)</f>
        <v>6.92</v>
      </c>
    </row>
    <row r="241" spans="1:7" s="121" customFormat="1" ht="15.75">
      <c r="A241" s="137"/>
      <c r="B241" s="138"/>
      <c r="C241" s="139"/>
      <c r="D241" s="138"/>
      <c r="E241" s="138" t="s">
        <v>7</v>
      </c>
      <c r="F241" s="143"/>
      <c r="G241" s="107">
        <f>ROUND(SUM(G236:G240),2)</f>
        <v>12.11</v>
      </c>
    </row>
    <row r="242" spans="1:8" s="121" customFormat="1" ht="45.75">
      <c r="A242" s="144" t="s">
        <v>175</v>
      </c>
      <c r="B242" s="144" t="s">
        <v>1275</v>
      </c>
      <c r="C242" s="145" t="s">
        <v>512</v>
      </c>
      <c r="D242" s="144" t="s">
        <v>5</v>
      </c>
      <c r="E242" s="279">
        <f>47.4+10.53</f>
        <v>57.93</v>
      </c>
      <c r="F242" s="146">
        <f>ROUND(F243,2)</f>
        <v>3.72</v>
      </c>
      <c r="G242" s="28">
        <f>ROUND((E242*F242),2)</f>
        <v>215.5</v>
      </c>
      <c r="H242" s="121" t="s">
        <v>164</v>
      </c>
    </row>
    <row r="243" spans="1:7" s="121" customFormat="1" ht="60">
      <c r="A243" s="137"/>
      <c r="B243" s="138" t="s">
        <v>735</v>
      </c>
      <c r="C243" s="139" t="s">
        <v>736</v>
      </c>
      <c r="D243" s="138" t="s">
        <v>5</v>
      </c>
      <c r="E243" s="138">
        <v>1</v>
      </c>
      <c r="F243" s="143">
        <f>G248</f>
        <v>3.72</v>
      </c>
      <c r="G243" s="107">
        <f>ROUND(E243*F243,2)</f>
        <v>3.72</v>
      </c>
    </row>
    <row r="244" spans="1:7" s="121" customFormat="1" ht="15.75">
      <c r="A244" s="137"/>
      <c r="B244" s="138" t="s">
        <v>209</v>
      </c>
      <c r="C244" s="139" t="s">
        <v>737</v>
      </c>
      <c r="D244" s="138" t="s">
        <v>5</v>
      </c>
      <c r="E244" s="138">
        <v>0.37</v>
      </c>
      <c r="F244" s="143">
        <v>3.036</v>
      </c>
      <c r="G244" s="107">
        <f>ROUND(E244*F244,2)</f>
        <v>1.12</v>
      </c>
    </row>
    <row r="245" spans="1:7" s="121" customFormat="1" ht="15.75">
      <c r="A245" s="137"/>
      <c r="B245" s="138" t="s">
        <v>210</v>
      </c>
      <c r="C245" s="139" t="s">
        <v>738</v>
      </c>
      <c r="D245" s="138" t="s">
        <v>5</v>
      </c>
      <c r="E245" s="138">
        <v>0.37</v>
      </c>
      <c r="F245" s="143">
        <v>3.277</v>
      </c>
      <c r="G245" s="107">
        <f>ROUND(E245*F245,2)</f>
        <v>1.21</v>
      </c>
    </row>
    <row r="246" spans="1:7" s="121" customFormat="1" ht="15.75">
      <c r="A246" s="137"/>
      <c r="B246" s="138" t="s">
        <v>211</v>
      </c>
      <c r="C246" s="139" t="s">
        <v>739</v>
      </c>
      <c r="D246" s="138" t="s">
        <v>5</v>
      </c>
      <c r="E246" s="138">
        <v>0.37</v>
      </c>
      <c r="F246" s="143">
        <v>3.252</v>
      </c>
      <c r="G246" s="107">
        <f>ROUND(E246*F246,2)</f>
        <v>1.2</v>
      </c>
    </row>
    <row r="247" spans="1:7" s="121" customFormat="1" ht="15.75">
      <c r="A247" s="137"/>
      <c r="B247" s="138" t="s">
        <v>25</v>
      </c>
      <c r="C247" s="139" t="s">
        <v>734</v>
      </c>
      <c r="D247" s="138" t="s">
        <v>5</v>
      </c>
      <c r="E247" s="138">
        <v>0.03</v>
      </c>
      <c r="F247" s="143">
        <v>6.4</v>
      </c>
      <c r="G247" s="107">
        <f>ROUND(E247*F247,2)</f>
        <v>0.19</v>
      </c>
    </row>
    <row r="248" spans="1:7" s="121" customFormat="1" ht="15.75">
      <c r="A248" s="137"/>
      <c r="B248" s="138"/>
      <c r="C248" s="139"/>
      <c r="D248" s="138"/>
      <c r="E248" s="138" t="s">
        <v>7</v>
      </c>
      <c r="F248" s="143"/>
      <c r="G248" s="107">
        <f>ROUND(SUM(G244:G247),2)</f>
        <v>3.72</v>
      </c>
    </row>
    <row r="249" spans="1:7" s="121" customFormat="1" ht="30.75">
      <c r="A249" s="148" t="s">
        <v>176</v>
      </c>
      <c r="B249" s="148" t="str">
        <f>B250</f>
        <v>SI000096546</v>
      </c>
      <c r="C249" s="149" t="s">
        <v>513</v>
      </c>
      <c r="D249" s="148" t="s">
        <v>5</v>
      </c>
      <c r="E249" s="271">
        <f>E242</f>
        <v>57.93</v>
      </c>
      <c r="F249" s="158">
        <f>ROUND(F250,2)-0.04</f>
        <v>9.180000000000001</v>
      </c>
      <c r="G249" s="53">
        <f>ROUND((E249*F249),2)</f>
        <v>531.8</v>
      </c>
    </row>
    <row r="250" spans="1:7" s="121" customFormat="1" ht="30">
      <c r="A250" s="133"/>
      <c r="B250" s="134" t="s">
        <v>1121</v>
      </c>
      <c r="C250" s="135" t="s">
        <v>1122</v>
      </c>
      <c r="D250" s="134" t="s">
        <v>5</v>
      </c>
      <c r="E250" s="134">
        <v>1</v>
      </c>
      <c r="F250" s="136">
        <f>G256-0.01</f>
        <v>9.22</v>
      </c>
      <c r="G250" s="60">
        <f>ROUND(E250*F250,2)</f>
        <v>9.22</v>
      </c>
    </row>
    <row r="251" spans="1:7" s="121" customFormat="1" ht="30">
      <c r="A251" s="137"/>
      <c r="B251" s="138" t="s">
        <v>1112</v>
      </c>
      <c r="C251" s="139" t="s">
        <v>1113</v>
      </c>
      <c r="D251" s="138" t="s">
        <v>14</v>
      </c>
      <c r="E251" s="138">
        <v>0.4655</v>
      </c>
      <c r="F251" s="143">
        <v>0.25</v>
      </c>
      <c r="G251" s="107">
        <f>ROUND(E251*F251,2)</f>
        <v>0.12</v>
      </c>
    </row>
    <row r="252" spans="1:7" s="121" customFormat="1" ht="15.75">
      <c r="A252" s="137"/>
      <c r="B252" s="138" t="s">
        <v>1114</v>
      </c>
      <c r="C252" s="139" t="s">
        <v>1115</v>
      </c>
      <c r="D252" s="138" t="s">
        <v>5</v>
      </c>
      <c r="E252" s="138">
        <v>0.025</v>
      </c>
      <c r="F252" s="143">
        <v>12.9</v>
      </c>
      <c r="G252" s="107">
        <f>ROUND(E252*F252,2)</f>
        <v>0.32</v>
      </c>
    </row>
    <row r="253" spans="1:7" s="121" customFormat="1" ht="15.75">
      <c r="A253" s="137"/>
      <c r="B253" s="138" t="s">
        <v>1116</v>
      </c>
      <c r="C253" s="139" t="s">
        <v>1117</v>
      </c>
      <c r="D253" s="138" t="s">
        <v>6</v>
      </c>
      <c r="E253" s="138">
        <v>0.089</v>
      </c>
      <c r="F253" s="143">
        <f>ROUND(24.13,2)</f>
        <v>24.13</v>
      </c>
      <c r="G253" s="107">
        <f>ROUND(E253*F253,2)</f>
        <v>2.15</v>
      </c>
    </row>
    <row r="254" spans="1:7" s="121" customFormat="1" ht="15.75">
      <c r="A254" s="137"/>
      <c r="B254" s="138" t="s">
        <v>1118</v>
      </c>
      <c r="C254" s="139" t="s">
        <v>1119</v>
      </c>
      <c r="D254" s="138" t="s">
        <v>6</v>
      </c>
      <c r="E254" s="138">
        <v>0.029</v>
      </c>
      <c r="F254" s="143">
        <f>ROUND(18.91,2)</f>
        <v>18.91</v>
      </c>
      <c r="G254" s="107">
        <f>ROUND(E254*F254,2)</f>
        <v>0.55</v>
      </c>
    </row>
    <row r="255" spans="1:7" s="121" customFormat="1" ht="30">
      <c r="A255" s="137"/>
      <c r="B255" s="138" t="s">
        <v>1123</v>
      </c>
      <c r="C255" s="139" t="s">
        <v>1324</v>
      </c>
      <c r="D255" s="138" t="s">
        <v>5</v>
      </c>
      <c r="E255" s="138">
        <v>1</v>
      </c>
      <c r="F255" s="143">
        <f>ROUND(6.085463,2)</f>
        <v>6.09</v>
      </c>
      <c r="G255" s="107">
        <f>ROUND(E255*F255,2)</f>
        <v>6.09</v>
      </c>
    </row>
    <row r="256" spans="1:7" s="121" customFormat="1" ht="15.75">
      <c r="A256" s="137"/>
      <c r="B256" s="138"/>
      <c r="C256" s="139"/>
      <c r="D256" s="138"/>
      <c r="E256" s="138" t="s">
        <v>7</v>
      </c>
      <c r="F256" s="143"/>
      <c r="G256" s="107">
        <f>ROUND(SUM(G251:G255),2)</f>
        <v>9.23</v>
      </c>
    </row>
    <row r="257" spans="1:7" s="156" customFormat="1" ht="15.75">
      <c r="A257" s="164" t="s">
        <v>162</v>
      </c>
      <c r="B257" s="164"/>
      <c r="C257" s="165" t="s">
        <v>514</v>
      </c>
      <c r="D257" s="164"/>
      <c r="E257" s="164"/>
      <c r="F257" s="164"/>
      <c r="G257" s="147"/>
    </row>
    <row r="258" spans="1:8" s="177" customFormat="1" ht="30">
      <c r="A258" s="148" t="s">
        <v>177</v>
      </c>
      <c r="B258" s="148" t="str">
        <f>B259</f>
        <v>SI000096525</v>
      </c>
      <c r="C258" s="149" t="s">
        <v>437</v>
      </c>
      <c r="D258" s="148" t="s">
        <v>1</v>
      </c>
      <c r="E258" s="148">
        <v>4.75</v>
      </c>
      <c r="F258" s="158">
        <f>ROUND(F259,2)-0.02</f>
        <v>31.7</v>
      </c>
      <c r="G258" s="53">
        <f>ROUND((E258*F258),2)</f>
        <v>150.58</v>
      </c>
      <c r="H258" s="294"/>
    </row>
    <row r="259" spans="1:7" s="121" customFormat="1" ht="30">
      <c r="A259" s="133"/>
      <c r="B259" s="134" t="s">
        <v>1125</v>
      </c>
      <c r="C259" s="135" t="s">
        <v>1126</v>
      </c>
      <c r="D259" s="134" t="s">
        <v>1</v>
      </c>
      <c r="E259" s="134">
        <v>1</v>
      </c>
      <c r="F259" s="136">
        <f>G264</f>
        <v>31.72</v>
      </c>
      <c r="G259" s="60">
        <f>ROUND(E259*F259,2)</f>
        <v>31.72</v>
      </c>
    </row>
    <row r="260" spans="1:7" s="121" customFormat="1" ht="15.75">
      <c r="A260" s="137"/>
      <c r="B260" s="138" t="s">
        <v>119</v>
      </c>
      <c r="C260" s="139" t="s">
        <v>120</v>
      </c>
      <c r="D260" s="138" t="s">
        <v>6</v>
      </c>
      <c r="E260" s="138">
        <v>0.074</v>
      </c>
      <c r="F260" s="143">
        <f>ROUND(19.32,2)</f>
        <v>19.32</v>
      </c>
      <c r="G260" s="107">
        <f>ROUND(E260*F260,2)</f>
        <v>1.43</v>
      </c>
    </row>
    <row r="261" spans="1:7" s="121" customFormat="1" ht="15.75">
      <c r="A261" s="137"/>
      <c r="B261" s="138" t="s">
        <v>121</v>
      </c>
      <c r="C261" s="139" t="s">
        <v>1102</v>
      </c>
      <c r="D261" s="138" t="s">
        <v>6</v>
      </c>
      <c r="E261" s="138">
        <v>0.104</v>
      </c>
      <c r="F261" s="143">
        <f>ROUND(24.27,2)</f>
        <v>24.27</v>
      </c>
      <c r="G261" s="107">
        <f>ROUND(E261*F261,2)</f>
        <v>2.52</v>
      </c>
    </row>
    <row r="262" spans="1:7" s="121" customFormat="1" ht="30">
      <c r="A262" s="137"/>
      <c r="B262" s="138" t="s">
        <v>1127</v>
      </c>
      <c r="C262" s="139" t="s">
        <v>1325</v>
      </c>
      <c r="D262" s="138" t="s">
        <v>142</v>
      </c>
      <c r="E262" s="138">
        <v>0.125</v>
      </c>
      <c r="F262" s="143">
        <f>ROUND(42.6,2)</f>
        <v>42.6</v>
      </c>
      <c r="G262" s="107">
        <f>ROUND(E262*F262,2)</f>
        <v>5.33</v>
      </c>
    </row>
    <row r="263" spans="1:7" s="121" customFormat="1" ht="30">
      <c r="A263" s="137"/>
      <c r="B263" s="138" t="s">
        <v>1128</v>
      </c>
      <c r="C263" s="139" t="s">
        <v>1326</v>
      </c>
      <c r="D263" s="138" t="s">
        <v>143</v>
      </c>
      <c r="E263" s="138">
        <v>0.304</v>
      </c>
      <c r="F263" s="143">
        <f>ROUND(73.82,2)</f>
        <v>73.82</v>
      </c>
      <c r="G263" s="107">
        <f>ROUND(E263*F263,2)</f>
        <v>22.44</v>
      </c>
    </row>
    <row r="264" spans="1:7" s="121" customFormat="1" ht="15.75">
      <c r="A264" s="137"/>
      <c r="B264" s="138"/>
      <c r="C264" s="139"/>
      <c r="D264" s="138"/>
      <c r="E264" s="138" t="s">
        <v>7</v>
      </c>
      <c r="F264" s="143"/>
      <c r="G264" s="107">
        <f>ROUND(SUM(G260:G263),2)</f>
        <v>31.72</v>
      </c>
    </row>
    <row r="265" spans="1:8" s="177" customFormat="1" ht="30">
      <c r="A265" s="148" t="s">
        <v>178</v>
      </c>
      <c r="B265" s="149" t="s">
        <v>784</v>
      </c>
      <c r="C265" s="149" t="s">
        <v>785</v>
      </c>
      <c r="D265" s="148" t="s">
        <v>1</v>
      </c>
      <c r="E265" s="148">
        <f>4.75-0.82-0.14</f>
        <v>3.79</v>
      </c>
      <c r="F265" s="158">
        <f>ROUND(F266,2)-0.01</f>
        <v>17.139999999999997</v>
      </c>
      <c r="G265" s="53">
        <f>ROUND((E265*F265),2)</f>
        <v>64.96</v>
      </c>
      <c r="H265" s="294"/>
    </row>
    <row r="266" spans="1:7" s="121" customFormat="1" ht="30">
      <c r="A266" s="133"/>
      <c r="B266" s="134" t="s">
        <v>784</v>
      </c>
      <c r="C266" s="135" t="s">
        <v>785</v>
      </c>
      <c r="D266" s="134" t="s">
        <v>1</v>
      </c>
      <c r="E266" s="134">
        <v>1</v>
      </c>
      <c r="F266" s="136">
        <f>G271</f>
        <v>17.15</v>
      </c>
      <c r="G266" s="60">
        <f>ROUND(E266*F266,2)</f>
        <v>17.15</v>
      </c>
    </row>
    <row r="267" spans="1:7" s="121" customFormat="1" ht="30">
      <c r="A267" s="137"/>
      <c r="B267" s="138" t="s">
        <v>597</v>
      </c>
      <c r="C267" s="139" t="s">
        <v>598</v>
      </c>
      <c r="D267" s="138" t="s">
        <v>6</v>
      </c>
      <c r="E267" s="138">
        <v>1.09901</v>
      </c>
      <c r="F267" s="143">
        <v>12.54</v>
      </c>
      <c r="G267" s="107">
        <f>ROUND(E267*F267,2)</f>
        <v>13.78</v>
      </c>
    </row>
    <row r="268" spans="1:7" s="121" customFormat="1" ht="30">
      <c r="A268" s="137"/>
      <c r="B268" s="138" t="s">
        <v>786</v>
      </c>
      <c r="C268" s="139" t="s">
        <v>787</v>
      </c>
      <c r="D268" s="138" t="s">
        <v>6</v>
      </c>
      <c r="E268" s="138">
        <v>0.13699</v>
      </c>
      <c r="F268" s="143">
        <v>19.45</v>
      </c>
      <c r="G268" s="107">
        <f>ROUND(E268*F268,2)</f>
        <v>2.66</v>
      </c>
    </row>
    <row r="269" spans="1:7" s="121" customFormat="1" ht="15.75">
      <c r="A269" s="137"/>
      <c r="B269" s="138" t="s">
        <v>788</v>
      </c>
      <c r="C269" s="139" t="s">
        <v>789</v>
      </c>
      <c r="D269" s="138" t="s">
        <v>6</v>
      </c>
      <c r="E269" s="138">
        <v>0.033</v>
      </c>
      <c r="F269" s="143">
        <v>1.3478</v>
      </c>
      <c r="G269" s="107">
        <f>ROUND(E269*F269,2)</f>
        <v>0.04</v>
      </c>
    </row>
    <row r="270" spans="1:7" s="121" customFormat="1" ht="15.75">
      <c r="A270" s="137"/>
      <c r="B270" s="138" t="s">
        <v>790</v>
      </c>
      <c r="C270" s="139" t="s">
        <v>791</v>
      </c>
      <c r="D270" s="138" t="s">
        <v>6</v>
      </c>
      <c r="E270" s="138">
        <v>0.1</v>
      </c>
      <c r="F270" s="143">
        <v>6.689</v>
      </c>
      <c r="G270" s="107">
        <f>ROUND(E270*F270,2)</f>
        <v>0.67</v>
      </c>
    </row>
    <row r="271" spans="1:7" s="121" customFormat="1" ht="15.75">
      <c r="A271" s="137"/>
      <c r="B271" s="138"/>
      <c r="C271" s="139"/>
      <c r="D271" s="138"/>
      <c r="E271" s="138" t="s">
        <v>7</v>
      </c>
      <c r="F271" s="143"/>
      <c r="G271" s="107">
        <f>ROUND(SUM(G267:G270),2)</f>
        <v>17.15</v>
      </c>
    </row>
    <row r="272" spans="1:7" s="121" customFormat="1" ht="30">
      <c r="A272" s="148" t="s">
        <v>179</v>
      </c>
      <c r="B272" s="148" t="str">
        <f>B273</f>
        <v>SI000096530</v>
      </c>
      <c r="C272" s="149" t="s">
        <v>438</v>
      </c>
      <c r="D272" s="148" t="s">
        <v>0</v>
      </c>
      <c r="E272" s="148">
        <f>10.95+0.24</f>
        <v>11.19</v>
      </c>
      <c r="F272" s="158">
        <f>ROUND(F273,2)-0.05</f>
        <v>110.92</v>
      </c>
      <c r="G272" s="53">
        <f>ROUND((E272*F272),2)</f>
        <v>1241.19</v>
      </c>
    </row>
    <row r="273" spans="1:7" s="121" customFormat="1" ht="30">
      <c r="A273" s="133"/>
      <c r="B273" s="134" t="s">
        <v>1129</v>
      </c>
      <c r="C273" s="135" t="s">
        <v>1130</v>
      </c>
      <c r="D273" s="134" t="s">
        <v>0</v>
      </c>
      <c r="E273" s="134">
        <v>1</v>
      </c>
      <c r="F273" s="136">
        <f>G284</f>
        <v>110.97</v>
      </c>
      <c r="G273" s="60">
        <f>ROUND(E273*F273,2)</f>
        <v>110.97</v>
      </c>
    </row>
    <row r="274" spans="1:7" s="121" customFormat="1" ht="15.75">
      <c r="A274" s="137"/>
      <c r="B274" s="138" t="s">
        <v>1131</v>
      </c>
      <c r="C274" s="139" t="s">
        <v>1132</v>
      </c>
      <c r="D274" s="138" t="s">
        <v>5</v>
      </c>
      <c r="E274" s="138">
        <v>0.034</v>
      </c>
      <c r="F274" s="143">
        <f>ROUND(11.92,2)</f>
        <v>11.92</v>
      </c>
      <c r="G274" s="107">
        <f>ROUND(E274*F274,2)</f>
        <v>0.41</v>
      </c>
    </row>
    <row r="275" spans="1:7" s="121" customFormat="1" ht="30">
      <c r="A275" s="137"/>
      <c r="B275" s="138" t="s">
        <v>1133</v>
      </c>
      <c r="C275" s="139" t="s">
        <v>1327</v>
      </c>
      <c r="D275" s="138" t="s">
        <v>3</v>
      </c>
      <c r="E275" s="138">
        <v>3.74</v>
      </c>
      <c r="F275" s="143">
        <f>ROUND(12.18,2)</f>
        <v>12.18</v>
      </c>
      <c r="G275" s="107">
        <f>ROUND(E275*F275,2)</f>
        <v>45.55</v>
      </c>
    </row>
    <row r="276" spans="1:7" s="121" customFormat="1" ht="15.75">
      <c r="A276" s="137"/>
      <c r="B276" s="138" t="s">
        <v>1134</v>
      </c>
      <c r="C276" s="139" t="s">
        <v>1135</v>
      </c>
      <c r="D276" s="138" t="s">
        <v>5</v>
      </c>
      <c r="E276" s="138">
        <v>0.095</v>
      </c>
      <c r="F276" s="143">
        <f>ROUND(9.85,2)</f>
        <v>9.85</v>
      </c>
      <c r="G276" s="107">
        <f>ROUND(E276*F276,2)</f>
        <v>0.94</v>
      </c>
    </row>
    <row r="277" spans="1:7" s="121" customFormat="1" ht="30">
      <c r="A277" s="137"/>
      <c r="B277" s="138" t="s">
        <v>1136</v>
      </c>
      <c r="C277" s="139" t="s">
        <v>1328</v>
      </c>
      <c r="D277" s="138" t="s">
        <v>3</v>
      </c>
      <c r="E277" s="138">
        <v>2.104</v>
      </c>
      <c r="F277" s="143">
        <f>ROUND(1.45,2)</f>
        <v>1.45</v>
      </c>
      <c r="G277" s="107">
        <f>ROUND(E277*F277,2)</f>
        <v>3.05</v>
      </c>
    </row>
    <row r="278" spans="1:7" s="121" customFormat="1" ht="30">
      <c r="A278" s="137"/>
      <c r="B278" s="138" t="s">
        <v>1055</v>
      </c>
      <c r="C278" s="139" t="s">
        <v>1314</v>
      </c>
      <c r="D278" s="138" t="s">
        <v>3</v>
      </c>
      <c r="E278" s="138">
        <v>2.244</v>
      </c>
      <c r="F278" s="143">
        <f>ROUND(4.05,2)</f>
        <v>4.05</v>
      </c>
      <c r="G278" s="107">
        <f>ROUND(E278*F278,2)</f>
        <v>9.09</v>
      </c>
    </row>
    <row r="279" spans="1:7" s="121" customFormat="1" ht="30">
      <c r="A279" s="137"/>
      <c r="B279" s="138" t="s">
        <v>1137</v>
      </c>
      <c r="C279" s="139" t="s">
        <v>1138</v>
      </c>
      <c r="D279" s="138" t="s">
        <v>18</v>
      </c>
      <c r="E279" s="138">
        <v>0.017</v>
      </c>
      <c r="F279" s="143">
        <f>ROUND(6.4,2)</f>
        <v>6.4</v>
      </c>
      <c r="G279" s="107">
        <f>ROUND(E279*F279,2)</f>
        <v>0.11</v>
      </c>
    </row>
    <row r="280" spans="1:7" s="121" customFormat="1" ht="15.75">
      <c r="A280" s="137"/>
      <c r="B280" s="138" t="s">
        <v>1058</v>
      </c>
      <c r="C280" s="139" t="s">
        <v>1059</v>
      </c>
      <c r="D280" s="138" t="s">
        <v>6</v>
      </c>
      <c r="E280" s="138">
        <v>1.566</v>
      </c>
      <c r="F280" s="143">
        <f>ROUND(23.93,2)</f>
        <v>23.93</v>
      </c>
      <c r="G280" s="107">
        <f>ROUND(E280*F280,2)</f>
        <v>37.47</v>
      </c>
    </row>
    <row r="281" spans="1:7" s="121" customFormat="1" ht="15.75">
      <c r="A281" s="137"/>
      <c r="B281" s="138" t="s">
        <v>1139</v>
      </c>
      <c r="C281" s="139" t="s">
        <v>1140</v>
      </c>
      <c r="D281" s="138" t="s">
        <v>6</v>
      </c>
      <c r="E281" s="138">
        <v>0.555</v>
      </c>
      <c r="F281" s="143">
        <f>ROUND(20.33,2)</f>
        <v>20.33</v>
      </c>
      <c r="G281" s="107">
        <f>ROUND(E281*F281,2)</f>
        <v>11.28</v>
      </c>
    </row>
    <row r="282" spans="1:7" s="121" customFormat="1" ht="30">
      <c r="A282" s="137"/>
      <c r="B282" s="138" t="s">
        <v>1141</v>
      </c>
      <c r="C282" s="139" t="s">
        <v>1142</v>
      </c>
      <c r="D282" s="138" t="s">
        <v>142</v>
      </c>
      <c r="E282" s="138">
        <v>0.053</v>
      </c>
      <c r="F282" s="143">
        <f>ROUND(25.42,2)</f>
        <v>25.42</v>
      </c>
      <c r="G282" s="107">
        <f>ROUND(E282*F282,2)</f>
        <v>1.35</v>
      </c>
    </row>
    <row r="283" spans="1:7" s="121" customFormat="1" ht="30">
      <c r="A283" s="137"/>
      <c r="B283" s="138" t="s">
        <v>1143</v>
      </c>
      <c r="C283" s="139" t="s">
        <v>1144</v>
      </c>
      <c r="D283" s="138" t="s">
        <v>143</v>
      </c>
      <c r="E283" s="138">
        <v>0.062</v>
      </c>
      <c r="F283" s="143">
        <f>ROUND(27.77,2)</f>
        <v>27.77</v>
      </c>
      <c r="G283" s="107">
        <f>ROUND(E283*F283,2)</f>
        <v>1.72</v>
      </c>
    </row>
    <row r="284" spans="1:7" s="121" customFormat="1" ht="15.75">
      <c r="A284" s="137"/>
      <c r="B284" s="138"/>
      <c r="C284" s="139"/>
      <c r="D284" s="138"/>
      <c r="E284" s="138" t="s">
        <v>7</v>
      </c>
      <c r="F284" s="143"/>
      <c r="G284" s="107">
        <f>ROUND(SUM(G274:G283),2)</f>
        <v>110.97</v>
      </c>
    </row>
    <row r="285" spans="1:7" s="121" customFormat="1" ht="15.75">
      <c r="A285" s="144" t="s">
        <v>180</v>
      </c>
      <c r="B285" s="144" t="str">
        <f>B286</f>
        <v>SI000095241</v>
      </c>
      <c r="C285" s="145" t="s">
        <v>439</v>
      </c>
      <c r="D285" s="144" t="s">
        <v>0</v>
      </c>
      <c r="E285" s="144">
        <v>0.14</v>
      </c>
      <c r="F285" s="146">
        <f>ROUND(F286,2)-0.01</f>
        <v>21.54</v>
      </c>
      <c r="G285" s="28">
        <f>ROUND((E285*F285),2)</f>
        <v>3.02</v>
      </c>
    </row>
    <row r="286" spans="1:7" s="121" customFormat="1" ht="30">
      <c r="A286" s="133"/>
      <c r="B286" s="134" t="s">
        <v>1145</v>
      </c>
      <c r="C286" s="135" t="s">
        <v>1146</v>
      </c>
      <c r="D286" s="134" t="s">
        <v>0</v>
      </c>
      <c r="E286" s="134">
        <v>1</v>
      </c>
      <c r="F286" s="136">
        <f>G290</f>
        <v>21.55</v>
      </c>
      <c r="G286" s="60">
        <f>ROUND(E286*F286,2)</f>
        <v>21.55</v>
      </c>
    </row>
    <row r="287" spans="1:7" s="121" customFormat="1" ht="15.75">
      <c r="A287" s="137"/>
      <c r="B287" s="138" t="s">
        <v>119</v>
      </c>
      <c r="C287" s="139" t="s">
        <v>120</v>
      </c>
      <c r="D287" s="138" t="s">
        <v>6</v>
      </c>
      <c r="E287" s="138">
        <v>0.0741</v>
      </c>
      <c r="F287" s="143">
        <f>ROUND(19.32,2)</f>
        <v>19.32</v>
      </c>
      <c r="G287" s="107">
        <f>ROUND(E287*F287,2)</f>
        <v>1.43</v>
      </c>
    </row>
    <row r="288" spans="1:7" s="121" customFormat="1" ht="15.75">
      <c r="A288" s="137"/>
      <c r="B288" s="138" t="s">
        <v>121</v>
      </c>
      <c r="C288" s="139" t="s">
        <v>1102</v>
      </c>
      <c r="D288" s="138" t="s">
        <v>6</v>
      </c>
      <c r="E288" s="138">
        <v>0.2718</v>
      </c>
      <c r="F288" s="143">
        <f>ROUND(24.27,2)</f>
        <v>24.27</v>
      </c>
      <c r="G288" s="107">
        <f>ROUND(E288*F288,2)</f>
        <v>6.6</v>
      </c>
    </row>
    <row r="289" spans="1:7" s="121" customFormat="1" ht="30">
      <c r="A289" s="137"/>
      <c r="B289" s="138" t="s">
        <v>1147</v>
      </c>
      <c r="C289" s="139" t="s">
        <v>1148</v>
      </c>
      <c r="D289" s="138" t="s">
        <v>1</v>
      </c>
      <c r="E289" s="138">
        <v>0.0565</v>
      </c>
      <c r="F289" s="143">
        <f>ROUND(239.32,2)</f>
        <v>239.32</v>
      </c>
      <c r="G289" s="107">
        <f>ROUND(E289*F289,2)</f>
        <v>13.52</v>
      </c>
    </row>
    <row r="290" spans="1:7" s="121" customFormat="1" ht="15.75">
      <c r="A290" s="137"/>
      <c r="B290" s="138"/>
      <c r="C290" s="139"/>
      <c r="D290" s="138"/>
      <c r="E290" s="138" t="s">
        <v>7</v>
      </c>
      <c r="F290" s="143"/>
      <c r="G290" s="107">
        <f>ROUND(SUM(G287:G289),2)</f>
        <v>21.55</v>
      </c>
    </row>
    <row r="291" spans="1:7" s="121" customFormat="1" ht="30">
      <c r="A291" s="144" t="s">
        <v>181</v>
      </c>
      <c r="B291" s="144" t="s">
        <v>1011</v>
      </c>
      <c r="C291" s="145" t="s">
        <v>547</v>
      </c>
      <c r="D291" s="144" t="s">
        <v>1</v>
      </c>
      <c r="E291" s="144">
        <f>0.82+0.02</f>
        <v>0.84</v>
      </c>
      <c r="F291" s="146">
        <f>ROUND(F292,2)-0.01</f>
        <v>381.95</v>
      </c>
      <c r="G291" s="28">
        <f>ROUND((E291*F291),2)</f>
        <v>320.84</v>
      </c>
    </row>
    <row r="292" spans="1:7" s="121" customFormat="1" ht="30">
      <c r="A292" s="133"/>
      <c r="B292" s="134" t="s">
        <v>1329</v>
      </c>
      <c r="C292" s="135" t="s">
        <v>1330</v>
      </c>
      <c r="D292" s="134" t="s">
        <v>1</v>
      </c>
      <c r="E292" s="134">
        <v>1</v>
      </c>
      <c r="F292" s="136">
        <f>G298</f>
        <v>381.96</v>
      </c>
      <c r="G292" s="60">
        <f>ROUND(E292*F292,2)</f>
        <v>381.96</v>
      </c>
    </row>
    <row r="293" spans="1:7" s="121" customFormat="1" ht="30">
      <c r="A293" s="137"/>
      <c r="B293" s="138" t="s">
        <v>1331</v>
      </c>
      <c r="C293" s="139" t="s">
        <v>1332</v>
      </c>
      <c r="D293" s="138" t="s">
        <v>1</v>
      </c>
      <c r="E293" s="138">
        <v>1.15</v>
      </c>
      <c r="F293" s="143">
        <f>ROUND(315.21,2)</f>
        <v>315.21</v>
      </c>
      <c r="G293" s="107">
        <f>ROUND(E293*F293,2)</f>
        <v>362.49</v>
      </c>
    </row>
    <row r="294" spans="1:7" s="121" customFormat="1" ht="15.75">
      <c r="A294" s="137"/>
      <c r="B294" s="138" t="s">
        <v>119</v>
      </c>
      <c r="C294" s="139" t="s">
        <v>120</v>
      </c>
      <c r="D294" s="138" t="s">
        <v>6</v>
      </c>
      <c r="E294" s="138">
        <v>0.544</v>
      </c>
      <c r="F294" s="143">
        <f>ROUND(19.32,2)</f>
        <v>19.32</v>
      </c>
      <c r="G294" s="107">
        <f>ROUND(E294*F294,2)</f>
        <v>10.51</v>
      </c>
    </row>
    <row r="295" spans="1:7" s="121" customFormat="1" ht="15.75">
      <c r="A295" s="137"/>
      <c r="B295" s="138" t="s">
        <v>121</v>
      </c>
      <c r="C295" s="139" t="s">
        <v>1102</v>
      </c>
      <c r="D295" s="138" t="s">
        <v>6</v>
      </c>
      <c r="E295" s="138">
        <v>0.363</v>
      </c>
      <c r="F295" s="143">
        <f>ROUND(24.27,2)</f>
        <v>24.27</v>
      </c>
      <c r="G295" s="107">
        <f>ROUND(E295*F295,2)</f>
        <v>8.81</v>
      </c>
    </row>
    <row r="296" spans="1:7" s="121" customFormat="1" ht="30">
      <c r="A296" s="137"/>
      <c r="B296" s="138" t="s">
        <v>1333</v>
      </c>
      <c r="C296" s="139" t="s">
        <v>1334</v>
      </c>
      <c r="D296" s="138" t="s">
        <v>142</v>
      </c>
      <c r="E296" s="138">
        <v>0.093</v>
      </c>
      <c r="F296" s="143">
        <f>ROUND(0.29,2)</f>
        <v>0.29</v>
      </c>
      <c r="G296" s="107">
        <f>ROUND(E296*F296,2)</f>
        <v>0.03</v>
      </c>
    </row>
    <row r="297" spans="1:7" s="121" customFormat="1" ht="30">
      <c r="A297" s="137"/>
      <c r="B297" s="138" t="s">
        <v>1335</v>
      </c>
      <c r="C297" s="139" t="s">
        <v>1336</v>
      </c>
      <c r="D297" s="138" t="s">
        <v>143</v>
      </c>
      <c r="E297" s="138">
        <v>0.088</v>
      </c>
      <c r="F297" s="143">
        <f>ROUND(1.39,2)</f>
        <v>1.39</v>
      </c>
      <c r="G297" s="107">
        <f>ROUND(E297*F297,2)</f>
        <v>0.12</v>
      </c>
    </row>
    <row r="298" spans="1:7" s="121" customFormat="1" ht="15.75">
      <c r="A298" s="137"/>
      <c r="B298" s="138"/>
      <c r="C298" s="139"/>
      <c r="D298" s="138"/>
      <c r="E298" s="138" t="s">
        <v>7</v>
      </c>
      <c r="F298" s="143"/>
      <c r="G298" s="107">
        <f>ROUND(SUM(G293:G297),2)</f>
        <v>381.96</v>
      </c>
    </row>
    <row r="299" spans="1:7" s="121" customFormat="1" ht="45.75">
      <c r="A299" s="148" t="s">
        <v>182</v>
      </c>
      <c r="B299" s="148" t="s">
        <v>1276</v>
      </c>
      <c r="C299" s="149" t="s">
        <v>515</v>
      </c>
      <c r="D299" s="148" t="s">
        <v>5</v>
      </c>
      <c r="E299" s="148">
        <f>16.49+0.54</f>
        <v>17.029999999999998</v>
      </c>
      <c r="F299" s="158">
        <f>ROUND(F300,2)-0.02</f>
        <v>3.97</v>
      </c>
      <c r="G299" s="53">
        <f>ROUND((E299*F299),2)</f>
        <v>67.61</v>
      </c>
    </row>
    <row r="300" spans="1:7" s="121" customFormat="1" ht="60">
      <c r="A300" s="133"/>
      <c r="B300" s="134" t="s">
        <v>740</v>
      </c>
      <c r="C300" s="135" t="s">
        <v>741</v>
      </c>
      <c r="D300" s="134" t="s">
        <v>5</v>
      </c>
      <c r="E300" s="134">
        <v>1</v>
      </c>
      <c r="F300" s="136">
        <f>G304</f>
        <v>3.99</v>
      </c>
      <c r="G300" s="60">
        <f>ROUND(E300*F300,2)</f>
        <v>3.99</v>
      </c>
    </row>
    <row r="301" spans="1:7" s="121" customFormat="1" ht="15.75">
      <c r="A301" s="137"/>
      <c r="B301" s="138" t="s">
        <v>343</v>
      </c>
      <c r="C301" s="139" t="s">
        <v>742</v>
      </c>
      <c r="D301" s="138" t="s">
        <v>5</v>
      </c>
      <c r="E301" s="138">
        <v>0.55</v>
      </c>
      <c r="F301" s="143">
        <v>3.436</v>
      </c>
      <c r="G301" s="107">
        <f>ROUND(E301*F301,2)</f>
        <v>1.89</v>
      </c>
    </row>
    <row r="302" spans="1:7" s="121" customFormat="1" ht="15.75">
      <c r="A302" s="137"/>
      <c r="B302" s="138" t="s">
        <v>344</v>
      </c>
      <c r="C302" s="139" t="s">
        <v>743</v>
      </c>
      <c r="D302" s="138" t="s">
        <v>5</v>
      </c>
      <c r="E302" s="138">
        <v>0.55</v>
      </c>
      <c r="F302" s="143">
        <v>3.465</v>
      </c>
      <c r="G302" s="107">
        <f>ROUND(E302*F302,2)</f>
        <v>1.91</v>
      </c>
    </row>
    <row r="303" spans="1:7" s="121" customFormat="1" ht="15.75">
      <c r="A303" s="137"/>
      <c r="B303" s="138" t="s">
        <v>25</v>
      </c>
      <c r="C303" s="139" t="s">
        <v>734</v>
      </c>
      <c r="D303" s="138" t="s">
        <v>5</v>
      </c>
      <c r="E303" s="138">
        <v>0.03</v>
      </c>
      <c r="F303" s="143">
        <v>6.4</v>
      </c>
      <c r="G303" s="107">
        <f>ROUND(E303*F303,2)</f>
        <v>0.19</v>
      </c>
    </row>
    <row r="304" spans="1:7" s="121" customFormat="1" ht="15.75">
      <c r="A304" s="137"/>
      <c r="B304" s="138"/>
      <c r="C304" s="139"/>
      <c r="D304" s="138"/>
      <c r="E304" s="138" t="s">
        <v>7</v>
      </c>
      <c r="F304" s="143"/>
      <c r="G304" s="107">
        <f>ROUND(SUM(G301:G303),2)</f>
        <v>3.99</v>
      </c>
    </row>
    <row r="305" spans="1:7" s="121" customFormat="1" ht="15.75">
      <c r="A305" s="148" t="s">
        <v>183</v>
      </c>
      <c r="B305" s="148" t="s">
        <v>1012</v>
      </c>
      <c r="C305" s="149" t="s">
        <v>440</v>
      </c>
      <c r="D305" s="148" t="s">
        <v>5</v>
      </c>
      <c r="E305" s="148">
        <f>E299</f>
        <v>17.029999999999998</v>
      </c>
      <c r="F305" s="158">
        <f>ROUND(F306,2)</f>
        <v>14.24</v>
      </c>
      <c r="G305" s="53">
        <f>ROUND((E305*F305),2)</f>
        <v>242.51</v>
      </c>
    </row>
    <row r="306" spans="1:7" s="121" customFormat="1" ht="30">
      <c r="A306" s="133"/>
      <c r="B306" s="134" t="s">
        <v>1178</v>
      </c>
      <c r="C306" s="135" t="s">
        <v>1179</v>
      </c>
      <c r="D306" s="134" t="s">
        <v>5</v>
      </c>
      <c r="E306" s="134">
        <v>1</v>
      </c>
      <c r="F306" s="136">
        <f>G312</f>
        <v>14.24</v>
      </c>
      <c r="G306" s="60">
        <f>ROUND(E306*F306,2)</f>
        <v>14.24</v>
      </c>
    </row>
    <row r="307" spans="1:7" s="121" customFormat="1" ht="30">
      <c r="A307" s="137"/>
      <c r="B307" s="138" t="s">
        <v>1112</v>
      </c>
      <c r="C307" s="139" t="s">
        <v>1113</v>
      </c>
      <c r="D307" s="138" t="s">
        <v>14</v>
      </c>
      <c r="E307" s="138">
        <v>1.9665</v>
      </c>
      <c r="F307" s="143">
        <f>ROUND(0.25,2)</f>
        <v>0.25</v>
      </c>
      <c r="G307" s="107">
        <f>ROUND(E307*F307,2)</f>
        <v>0.49</v>
      </c>
    </row>
    <row r="308" spans="1:7" s="121" customFormat="1" ht="15.75">
      <c r="A308" s="137"/>
      <c r="B308" s="138" t="s">
        <v>1114</v>
      </c>
      <c r="C308" s="139" t="s">
        <v>1115</v>
      </c>
      <c r="D308" s="138" t="s">
        <v>5</v>
      </c>
      <c r="E308" s="138">
        <v>0.025</v>
      </c>
      <c r="F308" s="143">
        <f>ROUND(12.9,2)</f>
        <v>12.9</v>
      </c>
      <c r="G308" s="107">
        <f>ROUND(E308*F308,2)</f>
        <v>0.32</v>
      </c>
    </row>
    <row r="309" spans="1:7" s="121" customFormat="1" ht="15.75">
      <c r="A309" s="137"/>
      <c r="B309" s="138" t="s">
        <v>1116</v>
      </c>
      <c r="C309" s="139" t="s">
        <v>1117</v>
      </c>
      <c r="D309" s="138" t="s">
        <v>6</v>
      </c>
      <c r="E309" s="138">
        <v>0.1945</v>
      </c>
      <c r="F309" s="143">
        <f>ROUND(24.13,2)</f>
        <v>24.13</v>
      </c>
      <c r="G309" s="107">
        <f>ROUND(E309*F309,2)</f>
        <v>4.69</v>
      </c>
    </row>
    <row r="310" spans="1:7" s="121" customFormat="1" ht="15.75">
      <c r="A310" s="137"/>
      <c r="B310" s="138" t="s">
        <v>1118</v>
      </c>
      <c r="C310" s="139" t="s">
        <v>1119</v>
      </c>
      <c r="D310" s="138" t="s">
        <v>6</v>
      </c>
      <c r="E310" s="138">
        <v>0.0635</v>
      </c>
      <c r="F310" s="143">
        <f>ROUND(18.91,2)</f>
        <v>18.91</v>
      </c>
      <c r="G310" s="107">
        <f>ROUND(E310*F310,2)</f>
        <v>1.2</v>
      </c>
    </row>
    <row r="311" spans="1:7" s="121" customFormat="1" ht="30">
      <c r="A311" s="137"/>
      <c r="B311" s="138" t="s">
        <v>1337</v>
      </c>
      <c r="C311" s="139" t="s">
        <v>1338</v>
      </c>
      <c r="D311" s="138" t="s">
        <v>5</v>
      </c>
      <c r="E311" s="138">
        <v>1</v>
      </c>
      <c r="F311" s="143">
        <f>ROUND(7.54,2)</f>
        <v>7.54</v>
      </c>
      <c r="G311" s="107">
        <f>ROUND(E311*F311,2)</f>
        <v>7.54</v>
      </c>
    </row>
    <row r="312" spans="1:7" s="121" customFormat="1" ht="15.75">
      <c r="A312" s="137"/>
      <c r="B312" s="138"/>
      <c r="C312" s="139"/>
      <c r="D312" s="138"/>
      <c r="E312" s="138" t="s">
        <v>7</v>
      </c>
      <c r="F312" s="143"/>
      <c r="G312" s="107">
        <f>ROUND(SUM(G307:G311),2)</f>
        <v>14.24</v>
      </c>
    </row>
    <row r="313" spans="1:7" s="121" customFormat="1" ht="45.75">
      <c r="A313" s="148" t="s">
        <v>184</v>
      </c>
      <c r="B313" s="149" t="s">
        <v>735</v>
      </c>
      <c r="C313" s="149" t="s">
        <v>516</v>
      </c>
      <c r="D313" s="148" t="s">
        <v>5</v>
      </c>
      <c r="E313" s="148">
        <v>78.81</v>
      </c>
      <c r="F313" s="158">
        <f>ROUND(F314,2)</f>
        <v>3.72</v>
      </c>
      <c r="G313" s="53">
        <f>ROUND((E313*F313),2)</f>
        <v>293.17</v>
      </c>
    </row>
    <row r="314" spans="1:7" s="121" customFormat="1" ht="60">
      <c r="A314" s="133"/>
      <c r="B314" s="134" t="s">
        <v>735</v>
      </c>
      <c r="C314" s="135" t="s">
        <v>736</v>
      </c>
      <c r="D314" s="134" t="s">
        <v>5</v>
      </c>
      <c r="E314" s="134">
        <v>1</v>
      </c>
      <c r="F314" s="136">
        <f>G319</f>
        <v>3.72</v>
      </c>
      <c r="G314" s="60">
        <f>ROUND(E314*F314,2)</f>
        <v>3.72</v>
      </c>
    </row>
    <row r="315" spans="1:7" s="121" customFormat="1" ht="15.75">
      <c r="A315" s="137"/>
      <c r="B315" s="138" t="s">
        <v>209</v>
      </c>
      <c r="C315" s="139" t="s">
        <v>737</v>
      </c>
      <c r="D315" s="138" t="s">
        <v>5</v>
      </c>
      <c r="E315" s="138">
        <v>0.37</v>
      </c>
      <c r="F315" s="143">
        <v>3.036</v>
      </c>
      <c r="G315" s="107">
        <f>ROUND(E315*F315,2)</f>
        <v>1.12</v>
      </c>
    </row>
    <row r="316" spans="1:7" s="121" customFormat="1" ht="15.75">
      <c r="A316" s="137"/>
      <c r="B316" s="138" t="s">
        <v>210</v>
      </c>
      <c r="C316" s="139" t="s">
        <v>738</v>
      </c>
      <c r="D316" s="138" t="s">
        <v>5</v>
      </c>
      <c r="E316" s="138">
        <v>0.37</v>
      </c>
      <c r="F316" s="143">
        <v>3.277</v>
      </c>
      <c r="G316" s="107">
        <f>ROUND(E316*F316,2)</f>
        <v>1.21</v>
      </c>
    </row>
    <row r="317" spans="1:7" s="121" customFormat="1" ht="15.75">
      <c r="A317" s="137"/>
      <c r="B317" s="138" t="s">
        <v>211</v>
      </c>
      <c r="C317" s="139" t="s">
        <v>739</v>
      </c>
      <c r="D317" s="138" t="s">
        <v>5</v>
      </c>
      <c r="E317" s="138">
        <v>0.37</v>
      </c>
      <c r="F317" s="143">
        <v>3.252</v>
      </c>
      <c r="G317" s="107">
        <f>ROUND(E317*F317,2)</f>
        <v>1.2</v>
      </c>
    </row>
    <row r="318" spans="1:7" s="121" customFormat="1" ht="15.75">
      <c r="A318" s="137"/>
      <c r="B318" s="138" t="s">
        <v>25</v>
      </c>
      <c r="C318" s="139" t="s">
        <v>734</v>
      </c>
      <c r="D318" s="138" t="s">
        <v>5</v>
      </c>
      <c r="E318" s="138">
        <v>0.03</v>
      </c>
      <c r="F318" s="143">
        <v>6.4</v>
      </c>
      <c r="G318" s="107">
        <f>ROUND(E318*F318,2)</f>
        <v>0.19</v>
      </c>
    </row>
    <row r="319" spans="1:7" s="121" customFormat="1" ht="15.75">
      <c r="A319" s="137"/>
      <c r="B319" s="138"/>
      <c r="C319" s="139"/>
      <c r="D319" s="138"/>
      <c r="E319" s="138" t="s">
        <v>7</v>
      </c>
      <c r="F319" s="143"/>
      <c r="G319" s="107">
        <f>ROUND(SUM(G315:G318),2)</f>
        <v>3.72</v>
      </c>
    </row>
    <row r="320" spans="1:7" s="121" customFormat="1" ht="30">
      <c r="A320" s="148" t="s">
        <v>185</v>
      </c>
      <c r="B320" s="148" t="s">
        <v>1013</v>
      </c>
      <c r="C320" s="149" t="s">
        <v>441</v>
      </c>
      <c r="D320" s="148" t="s">
        <v>5</v>
      </c>
      <c r="E320" s="148">
        <v>78.81</v>
      </c>
      <c r="F320" s="158">
        <f>ROUND(F321,2)-0.02</f>
        <v>8.08</v>
      </c>
      <c r="G320" s="53">
        <f>ROUND((E320*F320),2)</f>
        <v>636.78</v>
      </c>
    </row>
    <row r="321" spans="1:7" s="121" customFormat="1" ht="30">
      <c r="A321" s="133"/>
      <c r="B321" s="134" t="s">
        <v>1339</v>
      </c>
      <c r="C321" s="135" t="s">
        <v>1340</v>
      </c>
      <c r="D321" s="134" t="s">
        <v>5</v>
      </c>
      <c r="E321" s="134">
        <v>1</v>
      </c>
      <c r="F321" s="136">
        <f>G327</f>
        <v>8.1</v>
      </c>
      <c r="G321" s="60">
        <f>ROUND(E321*F321,2)</f>
        <v>8.1</v>
      </c>
    </row>
    <row r="322" spans="1:7" s="121" customFormat="1" ht="30">
      <c r="A322" s="137"/>
      <c r="B322" s="138" t="s">
        <v>1112</v>
      </c>
      <c r="C322" s="139" t="s">
        <v>1113</v>
      </c>
      <c r="D322" s="138" t="s">
        <v>14</v>
      </c>
      <c r="E322" s="138">
        <v>0.306</v>
      </c>
      <c r="F322" s="143">
        <f>ROUND(0.25,2)</f>
        <v>0.25</v>
      </c>
      <c r="G322" s="107">
        <f>ROUND(E322*F322,2)</f>
        <v>0.08</v>
      </c>
    </row>
    <row r="323" spans="1:7" s="121" customFormat="1" ht="15.75">
      <c r="A323" s="137"/>
      <c r="B323" s="138" t="s">
        <v>1114</v>
      </c>
      <c r="C323" s="139" t="s">
        <v>1115</v>
      </c>
      <c r="D323" s="138" t="s">
        <v>5</v>
      </c>
      <c r="E323" s="138">
        <v>0.025</v>
      </c>
      <c r="F323" s="143">
        <f>ROUND(12.9,2)</f>
        <v>12.9</v>
      </c>
      <c r="G323" s="107">
        <f>ROUND(E323*F323,2)</f>
        <v>0.32</v>
      </c>
    </row>
    <row r="324" spans="1:7" s="121" customFormat="1" ht="15.75">
      <c r="A324" s="137"/>
      <c r="B324" s="138" t="s">
        <v>1116</v>
      </c>
      <c r="C324" s="139" t="s">
        <v>1117</v>
      </c>
      <c r="D324" s="138" t="s">
        <v>6</v>
      </c>
      <c r="E324" s="138">
        <v>0.068</v>
      </c>
      <c r="F324" s="143">
        <f>ROUND(24.13,2)</f>
        <v>24.13</v>
      </c>
      <c r="G324" s="107">
        <f>ROUND(E324*F324,2)</f>
        <v>1.64</v>
      </c>
    </row>
    <row r="325" spans="1:7" s="121" customFormat="1" ht="15.75">
      <c r="A325" s="137"/>
      <c r="B325" s="138" t="s">
        <v>1118</v>
      </c>
      <c r="C325" s="139" t="s">
        <v>1119</v>
      </c>
      <c r="D325" s="138" t="s">
        <v>6</v>
      </c>
      <c r="E325" s="138">
        <v>0.022</v>
      </c>
      <c r="F325" s="143">
        <f>ROUND(18.91,2)</f>
        <v>18.91</v>
      </c>
      <c r="G325" s="107">
        <f>ROUND(E325*F325,2)</f>
        <v>0.42</v>
      </c>
    </row>
    <row r="326" spans="1:7" s="121" customFormat="1" ht="30">
      <c r="A326" s="137"/>
      <c r="B326" s="138" t="s">
        <v>1341</v>
      </c>
      <c r="C326" s="139" t="s">
        <v>1342</v>
      </c>
      <c r="D326" s="138" t="s">
        <v>5</v>
      </c>
      <c r="E326" s="138">
        <v>1</v>
      </c>
      <c r="F326" s="143">
        <f>ROUND(5.64,2)</f>
        <v>5.64</v>
      </c>
      <c r="G326" s="107">
        <f>ROUND(E326*F326,2)</f>
        <v>5.64</v>
      </c>
    </row>
    <row r="327" spans="1:7" s="121" customFormat="1" ht="15.75">
      <c r="A327" s="137"/>
      <c r="B327" s="138"/>
      <c r="C327" s="139"/>
      <c r="D327" s="138"/>
      <c r="E327" s="138" t="s">
        <v>7</v>
      </c>
      <c r="F327" s="143"/>
      <c r="G327" s="107">
        <f>ROUND(SUM(G322:G326),2)</f>
        <v>8.1</v>
      </c>
    </row>
    <row r="328" spans="1:8" s="121" customFormat="1" ht="45.75">
      <c r="A328" s="144" t="s">
        <v>188</v>
      </c>
      <c r="B328" s="144" t="s">
        <v>735</v>
      </c>
      <c r="C328" s="145" t="s">
        <v>1162</v>
      </c>
      <c r="D328" s="144" t="s">
        <v>5</v>
      </c>
      <c r="E328" s="279">
        <v>2.23</v>
      </c>
      <c r="F328" s="146">
        <f>ROUND(F329,2)</f>
        <v>3.72</v>
      </c>
      <c r="G328" s="28">
        <f>ROUND((E328*F328),2)</f>
        <v>8.3</v>
      </c>
      <c r="H328" s="121" t="s">
        <v>164</v>
      </c>
    </row>
    <row r="329" spans="1:7" s="121" customFormat="1" ht="60">
      <c r="A329" s="137"/>
      <c r="B329" s="138" t="s">
        <v>735</v>
      </c>
      <c r="C329" s="139" t="s">
        <v>736</v>
      </c>
      <c r="D329" s="138" t="s">
        <v>5</v>
      </c>
      <c r="E329" s="138">
        <v>1</v>
      </c>
      <c r="F329" s="143">
        <f>G334</f>
        <v>3.72</v>
      </c>
      <c r="G329" s="107">
        <f>ROUND(E329*F329,2)</f>
        <v>3.72</v>
      </c>
    </row>
    <row r="330" spans="1:7" s="121" customFormat="1" ht="15.75">
      <c r="A330" s="137"/>
      <c r="B330" s="138" t="s">
        <v>209</v>
      </c>
      <c r="C330" s="139" t="s">
        <v>737</v>
      </c>
      <c r="D330" s="138" t="s">
        <v>5</v>
      </c>
      <c r="E330" s="138">
        <v>0.37</v>
      </c>
      <c r="F330" s="143">
        <v>3.036</v>
      </c>
      <c r="G330" s="107">
        <f>ROUND(E330*F330,2)</f>
        <v>1.12</v>
      </c>
    </row>
    <row r="331" spans="1:7" s="121" customFormat="1" ht="15.75">
      <c r="A331" s="137"/>
      <c r="B331" s="138" t="s">
        <v>210</v>
      </c>
      <c r="C331" s="139" t="s">
        <v>738</v>
      </c>
      <c r="D331" s="138" t="s">
        <v>5</v>
      </c>
      <c r="E331" s="138">
        <v>0.37</v>
      </c>
      <c r="F331" s="143">
        <v>3.277</v>
      </c>
      <c r="G331" s="107">
        <f>ROUND(E331*F331,2)</f>
        <v>1.21</v>
      </c>
    </row>
    <row r="332" spans="1:7" s="121" customFormat="1" ht="15.75">
      <c r="A332" s="137"/>
      <c r="B332" s="138" t="s">
        <v>211</v>
      </c>
      <c r="C332" s="139" t="s">
        <v>739</v>
      </c>
      <c r="D332" s="138" t="s">
        <v>5</v>
      </c>
      <c r="E332" s="138">
        <v>0.37</v>
      </c>
      <c r="F332" s="143">
        <v>3.252</v>
      </c>
      <c r="G332" s="107">
        <f>ROUND(E332*F332,2)</f>
        <v>1.2</v>
      </c>
    </row>
    <row r="333" spans="1:7" s="121" customFormat="1" ht="15.75">
      <c r="A333" s="137"/>
      <c r="B333" s="138" t="s">
        <v>25</v>
      </c>
      <c r="C333" s="139" t="s">
        <v>734</v>
      </c>
      <c r="D333" s="138" t="s">
        <v>5</v>
      </c>
      <c r="E333" s="138">
        <v>0.03</v>
      </c>
      <c r="F333" s="143">
        <v>6.4</v>
      </c>
      <c r="G333" s="107">
        <f>ROUND(E333*F333,2)</f>
        <v>0.19</v>
      </c>
    </row>
    <row r="334" spans="1:7" s="121" customFormat="1" ht="15.75">
      <c r="A334" s="137"/>
      <c r="B334" s="138"/>
      <c r="C334" s="139"/>
      <c r="D334" s="138"/>
      <c r="E334" s="138" t="s">
        <v>7</v>
      </c>
      <c r="F334" s="143"/>
      <c r="G334" s="107">
        <f>ROUND(SUM(G330:G333),2)</f>
        <v>3.72</v>
      </c>
    </row>
    <row r="335" spans="1:7" s="121" customFormat="1" ht="30.75">
      <c r="A335" s="148" t="s">
        <v>190</v>
      </c>
      <c r="B335" s="148" t="str">
        <f>B336</f>
        <v>SI000096546</v>
      </c>
      <c r="C335" s="149" t="s">
        <v>1163</v>
      </c>
      <c r="D335" s="148" t="s">
        <v>5</v>
      </c>
      <c r="E335" s="271">
        <v>2.23</v>
      </c>
      <c r="F335" s="158">
        <f>ROUND(F336,2)-0.03</f>
        <v>9.180000000000001</v>
      </c>
      <c r="G335" s="53">
        <f>ROUND((E335*F335),2)</f>
        <v>20.47</v>
      </c>
    </row>
    <row r="336" spans="1:7" s="121" customFormat="1" ht="30">
      <c r="A336" s="133"/>
      <c r="B336" s="134" t="s">
        <v>1121</v>
      </c>
      <c r="C336" s="135" t="s">
        <v>1122</v>
      </c>
      <c r="D336" s="134" t="s">
        <v>5</v>
      </c>
      <c r="E336" s="134">
        <v>1</v>
      </c>
      <c r="F336" s="136">
        <f>G342</f>
        <v>9.21</v>
      </c>
      <c r="G336" s="60">
        <f>ROUND(E336*F336,2)</f>
        <v>9.21</v>
      </c>
    </row>
    <row r="337" spans="1:7" s="121" customFormat="1" ht="30">
      <c r="A337" s="137"/>
      <c r="B337" s="138" t="s">
        <v>1112</v>
      </c>
      <c r="C337" s="139" t="s">
        <v>1113</v>
      </c>
      <c r="D337" s="138" t="s">
        <v>14</v>
      </c>
      <c r="E337" s="138">
        <v>0.4655</v>
      </c>
      <c r="F337" s="143">
        <f>ROUND(0.25,2)</f>
        <v>0.25</v>
      </c>
      <c r="G337" s="107">
        <f>ROUND(E337*F337,2)</f>
        <v>0.12</v>
      </c>
    </row>
    <row r="338" spans="1:7" s="121" customFormat="1" ht="15.75">
      <c r="A338" s="137"/>
      <c r="B338" s="138" t="s">
        <v>1114</v>
      </c>
      <c r="C338" s="139" t="s">
        <v>1115</v>
      </c>
      <c r="D338" s="138" t="s">
        <v>5</v>
      </c>
      <c r="E338" s="138">
        <v>0.025</v>
      </c>
      <c r="F338" s="143">
        <f>ROUND(12.9,2)</f>
        <v>12.9</v>
      </c>
      <c r="G338" s="107">
        <f>ROUND(E338*F338,2)</f>
        <v>0.32</v>
      </c>
    </row>
    <row r="339" spans="1:7" s="121" customFormat="1" ht="15.75">
      <c r="A339" s="137"/>
      <c r="B339" s="138" t="s">
        <v>1116</v>
      </c>
      <c r="C339" s="139" t="s">
        <v>1117</v>
      </c>
      <c r="D339" s="138" t="s">
        <v>6</v>
      </c>
      <c r="E339" s="138">
        <v>0.089</v>
      </c>
      <c r="F339" s="143">
        <f>ROUND(24.13,2)</f>
        <v>24.13</v>
      </c>
      <c r="G339" s="107">
        <f>ROUND(E339*F339,2)</f>
        <v>2.15</v>
      </c>
    </row>
    <row r="340" spans="1:7" s="121" customFormat="1" ht="15.75">
      <c r="A340" s="137"/>
      <c r="B340" s="138" t="s">
        <v>1118</v>
      </c>
      <c r="C340" s="139" t="s">
        <v>1119</v>
      </c>
      <c r="D340" s="138" t="s">
        <v>6</v>
      </c>
      <c r="E340" s="138">
        <v>0.029</v>
      </c>
      <c r="F340" s="143">
        <f>ROUND(18.91,2)</f>
        <v>18.91</v>
      </c>
      <c r="G340" s="107">
        <f>ROUND(E340*F340,2)</f>
        <v>0.55</v>
      </c>
    </row>
    <row r="341" spans="1:7" s="121" customFormat="1" ht="30">
      <c r="A341" s="137"/>
      <c r="B341" s="138" t="s">
        <v>1123</v>
      </c>
      <c r="C341" s="139" t="s">
        <v>1124</v>
      </c>
      <c r="D341" s="138" t="s">
        <v>5</v>
      </c>
      <c r="E341" s="138">
        <v>1</v>
      </c>
      <c r="F341" s="143">
        <f>ROUND(6.07,2)</f>
        <v>6.07</v>
      </c>
      <c r="G341" s="107">
        <f>ROUND(E341*F341,2)</f>
        <v>6.07</v>
      </c>
    </row>
    <row r="342" spans="1:7" s="121" customFormat="1" ht="15.75">
      <c r="A342" s="137"/>
      <c r="B342" s="138"/>
      <c r="C342" s="139"/>
      <c r="D342" s="138"/>
      <c r="E342" s="138" t="s">
        <v>7</v>
      </c>
      <c r="F342" s="143"/>
      <c r="G342" s="107">
        <f>ROUND(SUM(G337:G341),2)</f>
        <v>9.21</v>
      </c>
    </row>
    <row r="343" spans="1:7" s="121" customFormat="1" ht="15.75">
      <c r="A343" s="144" t="s">
        <v>162</v>
      </c>
      <c r="B343" s="144"/>
      <c r="C343" s="165" t="s">
        <v>189</v>
      </c>
      <c r="D343" s="144"/>
      <c r="E343" s="144"/>
      <c r="F343" s="144"/>
      <c r="G343" s="28"/>
    </row>
    <row r="344" spans="1:7" s="121" customFormat="1" ht="30">
      <c r="A344" s="148" t="s">
        <v>191</v>
      </c>
      <c r="B344" s="148" t="s">
        <v>1014</v>
      </c>
      <c r="C344" s="149" t="s">
        <v>442</v>
      </c>
      <c r="D344" s="148" t="s">
        <v>0</v>
      </c>
      <c r="E344" s="271">
        <f>6+5.04</f>
        <v>11.04</v>
      </c>
      <c r="F344" s="158">
        <f>ROUND(F345,2)-0.04</f>
        <v>82.22</v>
      </c>
      <c r="G344" s="53">
        <f>ROUND((E344*F344),2)</f>
        <v>907.71</v>
      </c>
    </row>
    <row r="345" spans="1:7" s="121" customFormat="1" ht="30">
      <c r="A345" s="133"/>
      <c r="B345" s="134" t="s">
        <v>1343</v>
      </c>
      <c r="C345" s="135" t="s">
        <v>1344</v>
      </c>
      <c r="D345" s="134" t="s">
        <v>0</v>
      </c>
      <c r="E345" s="134">
        <v>1</v>
      </c>
      <c r="F345" s="136">
        <f>G353</f>
        <v>82.26</v>
      </c>
      <c r="G345" s="60">
        <f>ROUND(E345*F345,2)</f>
        <v>82.26</v>
      </c>
    </row>
    <row r="346" spans="1:7" s="121" customFormat="1" ht="30">
      <c r="A346" s="137"/>
      <c r="B346" s="138" t="s">
        <v>1133</v>
      </c>
      <c r="C346" s="139" t="s">
        <v>1327</v>
      </c>
      <c r="D346" s="138" t="s">
        <v>3</v>
      </c>
      <c r="E346" s="138">
        <v>4.009</v>
      </c>
      <c r="F346" s="143">
        <f>ROUND(12.18,2)</f>
        <v>12.18</v>
      </c>
      <c r="G346" s="107">
        <f>ROUND(E346*F346,2)</f>
        <v>48.83</v>
      </c>
    </row>
    <row r="347" spans="1:7" s="121" customFormat="1" ht="15.75">
      <c r="A347" s="137"/>
      <c r="B347" s="138" t="s">
        <v>1345</v>
      </c>
      <c r="C347" s="139" t="s">
        <v>1346</v>
      </c>
      <c r="D347" s="138" t="s">
        <v>5</v>
      </c>
      <c r="E347" s="138">
        <v>0.059</v>
      </c>
      <c r="F347" s="143">
        <f>ROUND(9.66,2)</f>
        <v>9.66</v>
      </c>
      <c r="G347" s="107">
        <f>ROUND(E347*F347,2)</f>
        <v>0.57</v>
      </c>
    </row>
    <row r="348" spans="1:7" s="121" customFormat="1" ht="30">
      <c r="A348" s="137"/>
      <c r="B348" s="138" t="s">
        <v>1136</v>
      </c>
      <c r="C348" s="139" t="s">
        <v>1328</v>
      </c>
      <c r="D348" s="138" t="s">
        <v>3</v>
      </c>
      <c r="E348" s="138">
        <v>7.165</v>
      </c>
      <c r="F348" s="143">
        <f>ROUND(1.45,2)</f>
        <v>1.45</v>
      </c>
      <c r="G348" s="107">
        <f>ROUND(E348*F348,2)</f>
        <v>10.39</v>
      </c>
    </row>
    <row r="349" spans="1:7" s="121" customFormat="1" ht="15.75">
      <c r="A349" s="137"/>
      <c r="B349" s="138" t="s">
        <v>1058</v>
      </c>
      <c r="C349" s="139" t="s">
        <v>1059</v>
      </c>
      <c r="D349" s="138" t="s">
        <v>6</v>
      </c>
      <c r="E349" s="138">
        <v>0.675</v>
      </c>
      <c r="F349" s="143">
        <f>ROUND(23.93,2)</f>
        <v>23.93</v>
      </c>
      <c r="G349" s="107">
        <f>ROUND(E349*F349,2)</f>
        <v>16.15</v>
      </c>
    </row>
    <row r="350" spans="1:7" s="121" customFormat="1" ht="15.75">
      <c r="A350" s="137"/>
      <c r="B350" s="138" t="s">
        <v>1139</v>
      </c>
      <c r="C350" s="139" t="s">
        <v>1140</v>
      </c>
      <c r="D350" s="138" t="s">
        <v>6</v>
      </c>
      <c r="E350" s="138">
        <v>0.135</v>
      </c>
      <c r="F350" s="143">
        <f>ROUND(20.33,2)</f>
        <v>20.33</v>
      </c>
      <c r="G350" s="107">
        <f>ROUND(E350*F350,2)</f>
        <v>2.74</v>
      </c>
    </row>
    <row r="351" spans="1:7" s="121" customFormat="1" ht="30">
      <c r="A351" s="137"/>
      <c r="B351" s="138" t="s">
        <v>1141</v>
      </c>
      <c r="C351" s="139" t="s">
        <v>1142</v>
      </c>
      <c r="D351" s="138" t="s">
        <v>142</v>
      </c>
      <c r="E351" s="138">
        <v>0.072</v>
      </c>
      <c r="F351" s="143">
        <f>ROUND(25.42,2)</f>
        <v>25.42</v>
      </c>
      <c r="G351" s="107">
        <f>ROUND(E351*F351,2)</f>
        <v>1.83</v>
      </c>
    </row>
    <row r="352" spans="1:7" s="121" customFormat="1" ht="30">
      <c r="A352" s="137"/>
      <c r="B352" s="138" t="s">
        <v>1143</v>
      </c>
      <c r="C352" s="139" t="s">
        <v>1144</v>
      </c>
      <c r="D352" s="138" t="s">
        <v>143</v>
      </c>
      <c r="E352" s="138">
        <v>0.063</v>
      </c>
      <c r="F352" s="143">
        <f>ROUND(27.77,2)</f>
        <v>27.77</v>
      </c>
      <c r="G352" s="107">
        <f>ROUND(E352*F352,2)</f>
        <v>1.75</v>
      </c>
    </row>
    <row r="353" spans="1:7" s="121" customFormat="1" ht="15.75">
      <c r="A353" s="137"/>
      <c r="B353" s="138"/>
      <c r="C353" s="139"/>
      <c r="D353" s="138"/>
      <c r="E353" s="138" t="s">
        <v>7</v>
      </c>
      <c r="F353" s="143"/>
      <c r="G353" s="107">
        <f>ROUND(SUM(G346:G352),2)</f>
        <v>82.26</v>
      </c>
    </row>
    <row r="354" spans="1:7" s="121" customFormat="1" ht="30">
      <c r="A354" s="144" t="s">
        <v>192</v>
      </c>
      <c r="B354" s="144" t="s">
        <v>1015</v>
      </c>
      <c r="C354" s="145" t="s">
        <v>443</v>
      </c>
      <c r="D354" s="144" t="s">
        <v>1</v>
      </c>
      <c r="E354" s="144">
        <f>0.28+0.24</f>
        <v>0.52</v>
      </c>
      <c r="F354" s="146">
        <f>ROUND(F355,2)-0.03</f>
        <v>376.33000000000004</v>
      </c>
      <c r="G354" s="28">
        <f>ROUND((E354*F354),2)</f>
        <v>195.69</v>
      </c>
    </row>
    <row r="355" spans="1:7" s="121" customFormat="1" ht="45">
      <c r="A355" s="133"/>
      <c r="B355" s="134" t="s">
        <v>1347</v>
      </c>
      <c r="C355" s="135" t="s">
        <v>1348</v>
      </c>
      <c r="D355" s="134" t="s">
        <v>1</v>
      </c>
      <c r="E355" s="134">
        <v>1</v>
      </c>
      <c r="F355" s="136">
        <f>G362</f>
        <v>376.36</v>
      </c>
      <c r="G355" s="60">
        <f>ROUND(E355*F355,2)</f>
        <v>376.36</v>
      </c>
    </row>
    <row r="356" spans="1:7" s="156" customFormat="1" ht="31.5">
      <c r="A356" s="160"/>
      <c r="B356" s="161" t="s">
        <v>1331</v>
      </c>
      <c r="C356" s="162" t="s">
        <v>1332</v>
      </c>
      <c r="D356" s="161" t="s">
        <v>1</v>
      </c>
      <c r="E356" s="161">
        <v>1.103</v>
      </c>
      <c r="F356" s="161">
        <v>315.21</v>
      </c>
      <c r="G356" s="115">
        <f>ROUND(E356*F356,2)</f>
        <v>347.68</v>
      </c>
    </row>
    <row r="357" spans="1:7" s="121" customFormat="1" ht="15.75">
      <c r="A357" s="137"/>
      <c r="B357" s="138" t="s">
        <v>119</v>
      </c>
      <c r="C357" s="139" t="s">
        <v>120</v>
      </c>
      <c r="D357" s="138" t="s">
        <v>6</v>
      </c>
      <c r="E357" s="138">
        <v>1.045</v>
      </c>
      <c r="F357" s="138">
        <f>ROUND(19.32,2)</f>
        <v>19.32</v>
      </c>
      <c r="G357" s="107">
        <f>ROUND(E357*F357,2)</f>
        <v>20.19</v>
      </c>
    </row>
    <row r="358" spans="1:7" s="121" customFormat="1" ht="15.75">
      <c r="A358" s="137"/>
      <c r="B358" s="138" t="s">
        <v>121</v>
      </c>
      <c r="C358" s="139" t="s">
        <v>1102</v>
      </c>
      <c r="D358" s="138" t="s">
        <v>6</v>
      </c>
      <c r="E358" s="138">
        <v>0.174</v>
      </c>
      <c r="F358" s="138">
        <f>ROUND(24.27,2)</f>
        <v>24.27</v>
      </c>
      <c r="G358" s="107">
        <f>ROUND(E358*F358,2)</f>
        <v>4.22</v>
      </c>
    </row>
    <row r="359" spans="1:7" s="121" customFormat="1" ht="15.75">
      <c r="A359" s="137"/>
      <c r="B359" s="138" t="s">
        <v>1058</v>
      </c>
      <c r="C359" s="139" t="s">
        <v>1059</v>
      </c>
      <c r="D359" s="138" t="s">
        <v>6</v>
      </c>
      <c r="E359" s="138">
        <v>0.174</v>
      </c>
      <c r="F359" s="138">
        <f>ROUND(23.93,2)</f>
        <v>23.93</v>
      </c>
      <c r="G359" s="107">
        <f>ROUND(E359*F359,2)</f>
        <v>4.16</v>
      </c>
    </row>
    <row r="360" spans="1:7" s="121" customFormat="1" ht="30">
      <c r="A360" s="137"/>
      <c r="B360" s="138" t="s">
        <v>1333</v>
      </c>
      <c r="C360" s="139" t="s">
        <v>1349</v>
      </c>
      <c r="D360" s="138" t="s">
        <v>142</v>
      </c>
      <c r="E360" s="138">
        <v>0.118</v>
      </c>
      <c r="F360" s="138">
        <f>ROUND(0.29,2)</f>
        <v>0.29</v>
      </c>
      <c r="G360" s="107">
        <f>ROUND(E360*F360,2)</f>
        <v>0.03</v>
      </c>
    </row>
    <row r="361" spans="1:7" s="121" customFormat="1" ht="30">
      <c r="A361" s="137"/>
      <c r="B361" s="138" t="s">
        <v>1335</v>
      </c>
      <c r="C361" s="139" t="s">
        <v>1350</v>
      </c>
      <c r="D361" s="138" t="s">
        <v>143</v>
      </c>
      <c r="E361" s="138">
        <v>0.056</v>
      </c>
      <c r="F361" s="138">
        <f>ROUND(1.39,2)</f>
        <v>1.39</v>
      </c>
      <c r="G361" s="107">
        <f>ROUND(E361*F361,2)</f>
        <v>0.08</v>
      </c>
    </row>
    <row r="362" spans="1:7" s="121" customFormat="1" ht="15.75">
      <c r="A362" s="137"/>
      <c r="B362" s="138"/>
      <c r="C362" s="139"/>
      <c r="D362" s="138"/>
      <c r="E362" s="138" t="s">
        <v>7</v>
      </c>
      <c r="F362" s="138"/>
      <c r="G362" s="107">
        <f>ROUND(SUM(G356:G361),2)</f>
        <v>376.36</v>
      </c>
    </row>
    <row r="363" spans="1:7" s="121" customFormat="1" ht="45.75">
      <c r="A363" s="144" t="s">
        <v>193</v>
      </c>
      <c r="B363" s="144" t="s">
        <v>1277</v>
      </c>
      <c r="C363" s="145" t="s">
        <v>515</v>
      </c>
      <c r="D363" s="144" t="s">
        <v>5</v>
      </c>
      <c r="E363" s="144">
        <f>5.93+4.7</f>
        <v>10.629999999999999</v>
      </c>
      <c r="F363" s="146">
        <f>ROUND(F364,2)-0.02</f>
        <v>3.97</v>
      </c>
      <c r="G363" s="28">
        <f>ROUND((E363*F363),2)</f>
        <v>42.2</v>
      </c>
    </row>
    <row r="364" spans="1:7" s="121" customFormat="1" ht="60">
      <c r="A364" s="133"/>
      <c r="B364" s="134" t="s">
        <v>740</v>
      </c>
      <c r="C364" s="135" t="s">
        <v>741</v>
      </c>
      <c r="D364" s="134" t="s">
        <v>5</v>
      </c>
      <c r="E364" s="134">
        <v>1</v>
      </c>
      <c r="F364" s="136">
        <f>G368</f>
        <v>3.99</v>
      </c>
      <c r="G364" s="60">
        <f>ROUND(E364*F364,2)</f>
        <v>3.99</v>
      </c>
    </row>
    <row r="365" spans="1:7" s="121" customFormat="1" ht="15.75">
      <c r="A365" s="137"/>
      <c r="B365" s="138" t="s">
        <v>343</v>
      </c>
      <c r="C365" s="139" t="s">
        <v>742</v>
      </c>
      <c r="D365" s="138" t="s">
        <v>5</v>
      </c>
      <c r="E365" s="138">
        <v>0.55</v>
      </c>
      <c r="F365" s="143">
        <v>3.436</v>
      </c>
      <c r="G365" s="107">
        <f>ROUND(E365*F365,2)</f>
        <v>1.89</v>
      </c>
    </row>
    <row r="366" spans="1:7" s="121" customFormat="1" ht="15.75">
      <c r="A366" s="137"/>
      <c r="B366" s="138" t="s">
        <v>344</v>
      </c>
      <c r="C366" s="139" t="s">
        <v>743</v>
      </c>
      <c r="D366" s="138" t="s">
        <v>5</v>
      </c>
      <c r="E366" s="138">
        <v>0.55</v>
      </c>
      <c r="F366" s="143">
        <v>3.465</v>
      </c>
      <c r="G366" s="107">
        <f>ROUND(E366*F366,2)</f>
        <v>1.91</v>
      </c>
    </row>
    <row r="367" spans="1:7" s="121" customFormat="1" ht="15.75">
      <c r="A367" s="137"/>
      <c r="B367" s="138" t="s">
        <v>25</v>
      </c>
      <c r="C367" s="139" t="s">
        <v>734</v>
      </c>
      <c r="D367" s="138" t="s">
        <v>5</v>
      </c>
      <c r="E367" s="138">
        <v>0.03</v>
      </c>
      <c r="F367" s="143">
        <v>6.4</v>
      </c>
      <c r="G367" s="107">
        <f>ROUND(E367*F367,2)</f>
        <v>0.19</v>
      </c>
    </row>
    <row r="368" spans="1:7" s="121" customFormat="1" ht="15.75">
      <c r="A368" s="137"/>
      <c r="B368" s="138"/>
      <c r="C368" s="139"/>
      <c r="D368" s="138"/>
      <c r="E368" s="138" t="s">
        <v>7</v>
      </c>
      <c r="F368" s="143"/>
      <c r="G368" s="107">
        <f>ROUND(SUM(G365:G367),2)</f>
        <v>3.99</v>
      </c>
    </row>
    <row r="369" spans="1:7" s="121" customFormat="1" ht="30">
      <c r="A369" s="144" t="s">
        <v>194</v>
      </c>
      <c r="B369" s="144" t="s">
        <v>1016</v>
      </c>
      <c r="C369" s="145" t="s">
        <v>444</v>
      </c>
      <c r="D369" s="144" t="s">
        <v>5</v>
      </c>
      <c r="E369" s="144">
        <f>E363</f>
        <v>10.629999999999999</v>
      </c>
      <c r="F369" s="146">
        <f>ROUND(F370,2)-0.02</f>
        <v>14.25</v>
      </c>
      <c r="G369" s="28">
        <f>ROUND((E369*F369),2)</f>
        <v>151.48</v>
      </c>
    </row>
    <row r="370" spans="1:7" s="121" customFormat="1" ht="45">
      <c r="A370" s="133"/>
      <c r="B370" s="134" t="s">
        <v>1351</v>
      </c>
      <c r="C370" s="135" t="s">
        <v>1352</v>
      </c>
      <c r="D370" s="134" t="s">
        <v>5</v>
      </c>
      <c r="E370" s="134">
        <v>1</v>
      </c>
      <c r="F370" s="136">
        <f>G376</f>
        <v>14.27</v>
      </c>
      <c r="G370" s="60">
        <f>ROUND(E370*F370,2)</f>
        <v>14.27</v>
      </c>
    </row>
    <row r="371" spans="1:7" s="121" customFormat="1" ht="30">
      <c r="A371" s="137"/>
      <c r="B371" s="138" t="s">
        <v>1112</v>
      </c>
      <c r="C371" s="139" t="s">
        <v>1113</v>
      </c>
      <c r="D371" s="138" t="s">
        <v>14</v>
      </c>
      <c r="E371" s="138">
        <v>1.19</v>
      </c>
      <c r="F371" s="143">
        <f>ROUND(0.25,2)</f>
        <v>0.25</v>
      </c>
      <c r="G371" s="107">
        <f>ROUND(E371*F371,2)</f>
        <v>0.3</v>
      </c>
    </row>
    <row r="372" spans="1:7" s="121" customFormat="1" ht="15.75">
      <c r="A372" s="137"/>
      <c r="B372" s="138" t="s">
        <v>1114</v>
      </c>
      <c r="C372" s="139" t="s">
        <v>1115</v>
      </c>
      <c r="D372" s="138" t="s">
        <v>5</v>
      </c>
      <c r="E372" s="138">
        <v>0.025</v>
      </c>
      <c r="F372" s="143">
        <f>ROUND(12.9,2)</f>
        <v>12.9</v>
      </c>
      <c r="G372" s="107">
        <f>ROUND(E372*F372,2)</f>
        <v>0.32</v>
      </c>
    </row>
    <row r="373" spans="1:7" s="121" customFormat="1" ht="15.75">
      <c r="A373" s="137"/>
      <c r="B373" s="138" t="s">
        <v>1116</v>
      </c>
      <c r="C373" s="139" t="s">
        <v>1117</v>
      </c>
      <c r="D373" s="138" t="s">
        <v>6</v>
      </c>
      <c r="E373" s="138">
        <v>0.2245</v>
      </c>
      <c r="F373" s="143">
        <f>ROUND(24.13,2)</f>
        <v>24.13</v>
      </c>
      <c r="G373" s="107">
        <f>ROUND(E373*F373,2)</f>
        <v>5.42</v>
      </c>
    </row>
    <row r="374" spans="1:7" s="121" customFormat="1" ht="15.75">
      <c r="A374" s="137"/>
      <c r="B374" s="138" t="s">
        <v>1118</v>
      </c>
      <c r="C374" s="139" t="s">
        <v>1119</v>
      </c>
      <c r="D374" s="138" t="s">
        <v>6</v>
      </c>
      <c r="E374" s="138">
        <v>0.0367</v>
      </c>
      <c r="F374" s="143">
        <f>ROUND(18.91,2)</f>
        <v>18.91</v>
      </c>
      <c r="G374" s="107">
        <f>ROUND(E374*F374,2)</f>
        <v>0.69</v>
      </c>
    </row>
    <row r="375" spans="1:7" s="121" customFormat="1" ht="30">
      <c r="A375" s="137"/>
      <c r="B375" s="138" t="s">
        <v>1337</v>
      </c>
      <c r="C375" s="139" t="s">
        <v>1338</v>
      </c>
      <c r="D375" s="138" t="s">
        <v>5</v>
      </c>
      <c r="E375" s="138">
        <v>1</v>
      </c>
      <c r="F375" s="143">
        <f>ROUND(7.54,2)</f>
        <v>7.54</v>
      </c>
      <c r="G375" s="107">
        <f>ROUND(E375*F375,2)</f>
        <v>7.54</v>
      </c>
    </row>
    <row r="376" spans="1:7" s="121" customFormat="1" ht="15.75">
      <c r="A376" s="137"/>
      <c r="B376" s="138"/>
      <c r="C376" s="139"/>
      <c r="D376" s="138"/>
      <c r="E376" s="138" t="s">
        <v>7</v>
      </c>
      <c r="F376" s="143"/>
      <c r="G376" s="107">
        <f>ROUND(SUM(G371:G375),2)</f>
        <v>14.27</v>
      </c>
    </row>
    <row r="377" spans="1:7" s="121" customFormat="1" ht="45.75">
      <c r="A377" s="144" t="s">
        <v>195</v>
      </c>
      <c r="B377" s="145" t="s">
        <v>735</v>
      </c>
      <c r="C377" s="145" t="s">
        <v>517</v>
      </c>
      <c r="D377" s="144" t="s">
        <v>5</v>
      </c>
      <c r="E377" s="144">
        <f>46.15+19.76</f>
        <v>65.91</v>
      </c>
      <c r="F377" s="146">
        <f>ROUND(F378,2)</f>
        <v>3.72</v>
      </c>
      <c r="G377" s="28">
        <f>ROUND((E377*F377),2)</f>
        <v>245.19</v>
      </c>
    </row>
    <row r="378" spans="1:7" s="121" customFormat="1" ht="60">
      <c r="A378" s="133"/>
      <c r="B378" s="134" t="s">
        <v>735</v>
      </c>
      <c r="C378" s="135" t="s">
        <v>736</v>
      </c>
      <c r="D378" s="134" t="s">
        <v>5</v>
      </c>
      <c r="E378" s="134">
        <v>1</v>
      </c>
      <c r="F378" s="136">
        <f>G383</f>
        <v>3.72</v>
      </c>
      <c r="G378" s="60">
        <f>ROUND(E378*F378,2)</f>
        <v>3.72</v>
      </c>
    </row>
    <row r="379" spans="1:7" s="121" customFormat="1" ht="15.75">
      <c r="A379" s="137"/>
      <c r="B379" s="138" t="s">
        <v>209</v>
      </c>
      <c r="C379" s="139" t="s">
        <v>737</v>
      </c>
      <c r="D379" s="138" t="s">
        <v>5</v>
      </c>
      <c r="E379" s="138">
        <v>0.37</v>
      </c>
      <c r="F379" s="143">
        <v>3.036</v>
      </c>
      <c r="G379" s="107">
        <f>ROUND(E379*F379,2)</f>
        <v>1.12</v>
      </c>
    </row>
    <row r="380" spans="1:7" s="121" customFormat="1" ht="15.75">
      <c r="A380" s="137"/>
      <c r="B380" s="138" t="s">
        <v>210</v>
      </c>
      <c r="C380" s="139" t="s">
        <v>738</v>
      </c>
      <c r="D380" s="138" t="s">
        <v>5</v>
      </c>
      <c r="E380" s="138">
        <v>0.37</v>
      </c>
      <c r="F380" s="143">
        <v>3.277</v>
      </c>
      <c r="G380" s="107">
        <f>ROUND(E380*F380,2)</f>
        <v>1.21</v>
      </c>
    </row>
    <row r="381" spans="1:7" s="121" customFormat="1" ht="15.75">
      <c r="A381" s="137"/>
      <c r="B381" s="138" t="s">
        <v>211</v>
      </c>
      <c r="C381" s="139" t="s">
        <v>739</v>
      </c>
      <c r="D381" s="138" t="s">
        <v>5</v>
      </c>
      <c r="E381" s="138">
        <v>0.37</v>
      </c>
      <c r="F381" s="143">
        <v>3.252</v>
      </c>
      <c r="G381" s="107">
        <f>ROUND(E381*F381,2)</f>
        <v>1.2</v>
      </c>
    </row>
    <row r="382" spans="1:7" s="121" customFormat="1" ht="15.75">
      <c r="A382" s="137"/>
      <c r="B382" s="138" t="s">
        <v>25</v>
      </c>
      <c r="C382" s="139" t="s">
        <v>734</v>
      </c>
      <c r="D382" s="138" t="s">
        <v>5</v>
      </c>
      <c r="E382" s="138">
        <v>0.03</v>
      </c>
      <c r="F382" s="143">
        <v>6.4</v>
      </c>
      <c r="G382" s="107">
        <f>ROUND(E382*F382,2)</f>
        <v>0.19</v>
      </c>
    </row>
    <row r="383" spans="1:7" s="121" customFormat="1" ht="15.75">
      <c r="A383" s="137"/>
      <c r="B383" s="138"/>
      <c r="C383" s="139"/>
      <c r="D383" s="138"/>
      <c r="E383" s="138" t="s">
        <v>7</v>
      </c>
      <c r="F383" s="143"/>
      <c r="G383" s="107">
        <f>ROUND(SUM(G379:G382),2)</f>
        <v>3.72</v>
      </c>
    </row>
    <row r="384" spans="1:7" s="121" customFormat="1" ht="30">
      <c r="A384" s="148" t="s">
        <v>196</v>
      </c>
      <c r="B384" s="148" t="s">
        <v>1017</v>
      </c>
      <c r="C384" s="149" t="s">
        <v>445</v>
      </c>
      <c r="D384" s="148" t="s">
        <v>5</v>
      </c>
      <c r="E384" s="148">
        <f>E377</f>
        <v>65.91</v>
      </c>
      <c r="F384" s="158">
        <f>ROUND(F385,2)-0.02</f>
        <v>9.110000000000001</v>
      </c>
      <c r="G384" s="53">
        <f>ROUND((E384*F384),2)</f>
        <v>600.44</v>
      </c>
    </row>
    <row r="385" spans="1:7" s="121" customFormat="1" ht="45">
      <c r="A385" s="133"/>
      <c r="B385" s="134" t="s">
        <v>1353</v>
      </c>
      <c r="C385" s="135" t="s">
        <v>1354</v>
      </c>
      <c r="D385" s="134" t="s">
        <v>5</v>
      </c>
      <c r="E385" s="134">
        <v>1</v>
      </c>
      <c r="F385" s="136">
        <f>G391</f>
        <v>9.13</v>
      </c>
      <c r="G385" s="60">
        <f>ROUND(E385*F385,2)</f>
        <v>9.13</v>
      </c>
    </row>
    <row r="386" spans="1:7" s="121" customFormat="1" ht="30">
      <c r="A386" s="137"/>
      <c r="B386" s="138" t="s">
        <v>1112</v>
      </c>
      <c r="C386" s="139" t="s">
        <v>1113</v>
      </c>
      <c r="D386" s="138" t="s">
        <v>14</v>
      </c>
      <c r="E386" s="138">
        <v>0.543</v>
      </c>
      <c r="F386" s="143">
        <f>ROUND(0.25,2)</f>
        <v>0.25</v>
      </c>
      <c r="G386" s="107">
        <f>ROUND(E386*F386,2)</f>
        <v>0.14</v>
      </c>
    </row>
    <row r="387" spans="1:7" s="121" customFormat="1" ht="15.75">
      <c r="A387" s="137"/>
      <c r="B387" s="138" t="s">
        <v>1114</v>
      </c>
      <c r="C387" s="139" t="s">
        <v>1115</v>
      </c>
      <c r="D387" s="138" t="s">
        <v>5</v>
      </c>
      <c r="E387" s="138">
        <v>0.025</v>
      </c>
      <c r="F387" s="143">
        <f>ROUND(12.9,2)</f>
        <v>12.9</v>
      </c>
      <c r="G387" s="107">
        <f>ROUND(E387*F387,2)</f>
        <v>0.32</v>
      </c>
    </row>
    <row r="388" spans="1:7" s="121" customFormat="1" ht="15.75">
      <c r="A388" s="137"/>
      <c r="B388" s="138" t="s">
        <v>1116</v>
      </c>
      <c r="C388" s="139" t="s">
        <v>1117</v>
      </c>
      <c r="D388" s="138" t="s">
        <v>6</v>
      </c>
      <c r="E388" s="138">
        <v>0.0956</v>
      </c>
      <c r="F388" s="143">
        <f>ROUND(24.13,2)</f>
        <v>24.13</v>
      </c>
      <c r="G388" s="107">
        <f>ROUND(E388*F388,2)</f>
        <v>2.31</v>
      </c>
    </row>
    <row r="389" spans="1:7" s="121" customFormat="1" ht="15.75">
      <c r="A389" s="137"/>
      <c r="B389" s="138" t="s">
        <v>1118</v>
      </c>
      <c r="C389" s="139" t="s">
        <v>1119</v>
      </c>
      <c r="D389" s="138" t="s">
        <v>6</v>
      </c>
      <c r="E389" s="138">
        <v>0.0156</v>
      </c>
      <c r="F389" s="143">
        <f>ROUND(18.91,2)</f>
        <v>18.91</v>
      </c>
      <c r="G389" s="107">
        <f>ROUND(E389*F389,2)</f>
        <v>0.29</v>
      </c>
    </row>
    <row r="390" spans="1:7" s="121" customFormat="1" ht="30">
      <c r="A390" s="137"/>
      <c r="B390" s="138" t="s">
        <v>1123</v>
      </c>
      <c r="C390" s="139" t="s">
        <v>1124</v>
      </c>
      <c r="D390" s="138" t="s">
        <v>5</v>
      </c>
      <c r="E390" s="138">
        <v>1</v>
      </c>
      <c r="F390" s="143">
        <f>ROUND(6.07,2)</f>
        <v>6.07</v>
      </c>
      <c r="G390" s="107">
        <f>ROUND(E390*F390,2)</f>
        <v>6.07</v>
      </c>
    </row>
    <row r="391" spans="1:7" s="121" customFormat="1" ht="15.75">
      <c r="A391" s="137"/>
      <c r="B391" s="138"/>
      <c r="C391" s="139"/>
      <c r="D391" s="138"/>
      <c r="E391" s="138" t="s">
        <v>7</v>
      </c>
      <c r="F391" s="143"/>
      <c r="G391" s="107">
        <f>ROUND(SUM(G386:G390),2)</f>
        <v>9.13</v>
      </c>
    </row>
    <row r="392" spans="1:7" s="121" customFormat="1" ht="15.75">
      <c r="A392" s="144" t="s">
        <v>162</v>
      </c>
      <c r="B392" s="144"/>
      <c r="C392" s="165" t="s">
        <v>197</v>
      </c>
      <c r="D392" s="144"/>
      <c r="E392" s="144"/>
      <c r="F392" s="144"/>
      <c r="G392" s="28"/>
    </row>
    <row r="393" spans="1:7" s="121" customFormat="1" ht="15.75">
      <c r="A393" s="148" t="s">
        <v>198</v>
      </c>
      <c r="B393" s="148" t="s">
        <v>1018</v>
      </c>
      <c r="C393" s="149" t="s">
        <v>446</v>
      </c>
      <c r="D393" s="148" t="s">
        <v>0</v>
      </c>
      <c r="E393" s="148">
        <f>9.63+0.3</f>
        <v>9.930000000000001</v>
      </c>
      <c r="F393" s="158">
        <f>ROUND(F394,2)-0.04</f>
        <v>66.00999999999999</v>
      </c>
      <c r="G393" s="53">
        <f>ROUND((E393*F393),2)</f>
        <v>655.48</v>
      </c>
    </row>
    <row r="394" spans="1:7" s="121" customFormat="1" ht="15.75">
      <c r="A394" s="133"/>
      <c r="B394" s="134" t="s">
        <v>1355</v>
      </c>
      <c r="C394" s="135" t="s">
        <v>1356</v>
      </c>
      <c r="D394" s="134" t="s">
        <v>0</v>
      </c>
      <c r="E394" s="134">
        <v>1</v>
      </c>
      <c r="F394" s="136">
        <f>G402</f>
        <v>66.05</v>
      </c>
      <c r="G394" s="60">
        <f>ROUND(E394*F394,2)</f>
        <v>66.05</v>
      </c>
    </row>
    <row r="395" spans="1:7" s="121" customFormat="1" ht="30">
      <c r="A395" s="137"/>
      <c r="B395" s="138" t="s">
        <v>1133</v>
      </c>
      <c r="C395" s="139" t="s">
        <v>1327</v>
      </c>
      <c r="D395" s="138" t="s">
        <v>3</v>
      </c>
      <c r="E395" s="138">
        <v>3.707</v>
      </c>
      <c r="F395" s="143">
        <f>ROUND(12.18,2)</f>
        <v>12.18</v>
      </c>
      <c r="G395" s="107">
        <f>ROUND(E395*F395,2)</f>
        <v>45.15</v>
      </c>
    </row>
    <row r="396" spans="1:7" s="121" customFormat="1" ht="15.75">
      <c r="A396" s="137"/>
      <c r="B396" s="138" t="s">
        <v>1345</v>
      </c>
      <c r="C396" s="139" t="s">
        <v>1346</v>
      </c>
      <c r="D396" s="138" t="s">
        <v>5</v>
      </c>
      <c r="E396" s="138">
        <v>0.031</v>
      </c>
      <c r="F396" s="143">
        <f>ROUND(9.66,2)</f>
        <v>9.66</v>
      </c>
      <c r="G396" s="107">
        <f>ROUND(E396*F396,2)</f>
        <v>0.3</v>
      </c>
    </row>
    <row r="397" spans="1:7" s="121" customFormat="1" ht="30">
      <c r="A397" s="137"/>
      <c r="B397" s="138" t="s">
        <v>1136</v>
      </c>
      <c r="C397" s="139" t="s">
        <v>1328</v>
      </c>
      <c r="D397" s="138" t="s">
        <v>3</v>
      </c>
      <c r="E397" s="138">
        <v>4.118</v>
      </c>
      <c r="F397" s="143">
        <f>ROUND(1.45,2)</f>
        <v>1.45</v>
      </c>
      <c r="G397" s="107">
        <f>ROUND(E397*F397,2)</f>
        <v>5.97</v>
      </c>
    </row>
    <row r="398" spans="1:7" s="121" customFormat="1" ht="15.75">
      <c r="A398" s="137"/>
      <c r="B398" s="138" t="s">
        <v>1058</v>
      </c>
      <c r="C398" s="139" t="s">
        <v>1059</v>
      </c>
      <c r="D398" s="138" t="s">
        <v>6</v>
      </c>
      <c r="E398" s="138">
        <v>0.438</v>
      </c>
      <c r="F398" s="143">
        <f>ROUND(23.93,2)</f>
        <v>23.93</v>
      </c>
      <c r="G398" s="107">
        <f>ROUND(E398*F398,2)</f>
        <v>10.48</v>
      </c>
    </row>
    <row r="399" spans="1:7" s="121" customFormat="1" ht="15.75">
      <c r="A399" s="137"/>
      <c r="B399" s="138" t="s">
        <v>1139</v>
      </c>
      <c r="C399" s="139" t="s">
        <v>1140</v>
      </c>
      <c r="D399" s="138" t="s">
        <v>6</v>
      </c>
      <c r="E399" s="138">
        <v>0.088</v>
      </c>
      <c r="F399" s="143">
        <f>ROUND(20.33,2)</f>
        <v>20.33</v>
      </c>
      <c r="G399" s="107">
        <f>ROUND(E399*F399,2)</f>
        <v>1.79</v>
      </c>
    </row>
    <row r="400" spans="1:7" s="121" customFormat="1" ht="30">
      <c r="A400" s="137"/>
      <c r="B400" s="138" t="s">
        <v>1141</v>
      </c>
      <c r="C400" s="139" t="s">
        <v>1142</v>
      </c>
      <c r="D400" s="138" t="s">
        <v>142</v>
      </c>
      <c r="E400" s="138">
        <v>0.038</v>
      </c>
      <c r="F400" s="143">
        <f>ROUND(25.42,2)</f>
        <v>25.42</v>
      </c>
      <c r="G400" s="107">
        <f>ROUND(E400*F400,2)</f>
        <v>0.97</v>
      </c>
    </row>
    <row r="401" spans="1:7" s="121" customFormat="1" ht="30">
      <c r="A401" s="137"/>
      <c r="B401" s="138" t="s">
        <v>1143</v>
      </c>
      <c r="C401" s="139" t="s">
        <v>1144</v>
      </c>
      <c r="D401" s="138" t="s">
        <v>143</v>
      </c>
      <c r="E401" s="138">
        <v>0.05</v>
      </c>
      <c r="F401" s="143">
        <f>ROUND(27.77,2)</f>
        <v>27.77</v>
      </c>
      <c r="G401" s="107">
        <f>ROUND(E401*F401,2)</f>
        <v>1.39</v>
      </c>
    </row>
    <row r="402" spans="1:7" s="121" customFormat="1" ht="15.75">
      <c r="A402" s="137"/>
      <c r="B402" s="138"/>
      <c r="C402" s="139"/>
      <c r="D402" s="138"/>
      <c r="E402" s="138" t="s">
        <v>7</v>
      </c>
      <c r="F402" s="143"/>
      <c r="G402" s="107">
        <f>ROUND(SUM(G395:G401),2)</f>
        <v>66.05</v>
      </c>
    </row>
    <row r="403" spans="1:7" s="121" customFormat="1" ht="61.5">
      <c r="A403" s="159" t="s">
        <v>199</v>
      </c>
      <c r="B403" s="194" t="s">
        <v>1184</v>
      </c>
      <c r="C403" s="145" t="s">
        <v>1185</v>
      </c>
      <c r="D403" s="144" t="s">
        <v>1</v>
      </c>
      <c r="E403" s="144">
        <f>0.56+0.02</f>
        <v>0.5800000000000001</v>
      </c>
      <c r="F403" s="146">
        <f>ROUND((F404+F405),2)</f>
        <v>506.17</v>
      </c>
      <c r="G403" s="28">
        <f>ROUND((E403*F403),2)</f>
        <v>293.58</v>
      </c>
    </row>
    <row r="404" spans="1:7" s="121" customFormat="1" ht="30">
      <c r="A404" s="137"/>
      <c r="B404" s="138" t="s">
        <v>1180</v>
      </c>
      <c r="C404" s="139" t="s">
        <v>1181</v>
      </c>
      <c r="D404" s="138" t="s">
        <v>1</v>
      </c>
      <c r="E404" s="138"/>
      <c r="F404" s="143">
        <v>308.94</v>
      </c>
      <c r="G404" s="107"/>
    </row>
    <row r="405" spans="1:7" s="121" customFormat="1" ht="30">
      <c r="A405" s="137"/>
      <c r="B405" s="138" t="s">
        <v>1182</v>
      </c>
      <c r="C405" s="139" t="s">
        <v>1183</v>
      </c>
      <c r="D405" s="138" t="s">
        <v>1</v>
      </c>
      <c r="E405" s="138"/>
      <c r="F405" s="143">
        <v>197.23</v>
      </c>
      <c r="G405" s="107"/>
    </row>
    <row r="406" spans="1:7" s="121" customFormat="1" ht="45.75">
      <c r="A406" s="144" t="s">
        <v>200</v>
      </c>
      <c r="B406" s="144" t="s">
        <v>740</v>
      </c>
      <c r="C406" s="145" t="s">
        <v>518</v>
      </c>
      <c r="D406" s="144" t="s">
        <v>5</v>
      </c>
      <c r="E406" s="144">
        <f>11.71+0.54</f>
        <v>12.25</v>
      </c>
      <c r="F406" s="146">
        <f>ROUND(F407,2)-0.02</f>
        <v>3.97</v>
      </c>
      <c r="G406" s="28">
        <f>ROUND((E406*F406),2)</f>
        <v>48.63</v>
      </c>
    </row>
    <row r="407" spans="1:7" s="121" customFormat="1" ht="60">
      <c r="A407" s="133"/>
      <c r="B407" s="134" t="s">
        <v>740</v>
      </c>
      <c r="C407" s="135" t="s">
        <v>741</v>
      </c>
      <c r="D407" s="134" t="s">
        <v>5</v>
      </c>
      <c r="E407" s="134">
        <v>1</v>
      </c>
      <c r="F407" s="136">
        <f>G411</f>
        <v>3.99</v>
      </c>
      <c r="G407" s="60">
        <f>ROUND(E407*F407,2)</f>
        <v>3.99</v>
      </c>
    </row>
    <row r="408" spans="1:7" s="121" customFormat="1" ht="15.75">
      <c r="A408" s="137"/>
      <c r="B408" s="138" t="s">
        <v>343</v>
      </c>
      <c r="C408" s="139" t="s">
        <v>742</v>
      </c>
      <c r="D408" s="138" t="s">
        <v>5</v>
      </c>
      <c r="E408" s="138">
        <v>0.55</v>
      </c>
      <c r="F408" s="143">
        <v>3.436</v>
      </c>
      <c r="G408" s="107">
        <f>ROUND(E408*F408,2)</f>
        <v>1.89</v>
      </c>
    </row>
    <row r="409" spans="1:7" s="121" customFormat="1" ht="15.75">
      <c r="A409" s="137"/>
      <c r="B409" s="138" t="s">
        <v>344</v>
      </c>
      <c r="C409" s="139" t="s">
        <v>743</v>
      </c>
      <c r="D409" s="138" t="s">
        <v>5</v>
      </c>
      <c r="E409" s="138">
        <v>0.55</v>
      </c>
      <c r="F409" s="143">
        <v>3.465</v>
      </c>
      <c r="G409" s="107">
        <f>ROUND(E409*F409,2)</f>
        <v>1.91</v>
      </c>
    </row>
    <row r="410" spans="1:7" s="121" customFormat="1" ht="15.75">
      <c r="A410" s="137"/>
      <c r="B410" s="138" t="s">
        <v>25</v>
      </c>
      <c r="C410" s="139" t="s">
        <v>734</v>
      </c>
      <c r="D410" s="138" t="s">
        <v>5</v>
      </c>
      <c r="E410" s="138">
        <v>0.03</v>
      </c>
      <c r="F410" s="143">
        <v>6.4</v>
      </c>
      <c r="G410" s="107">
        <f>ROUND(E410*F410,2)</f>
        <v>0.19</v>
      </c>
    </row>
    <row r="411" spans="1:7" s="121" customFormat="1" ht="15.75">
      <c r="A411" s="137"/>
      <c r="B411" s="138"/>
      <c r="C411" s="139"/>
      <c r="D411" s="138"/>
      <c r="E411" s="138" t="s">
        <v>7</v>
      </c>
      <c r="F411" s="143"/>
      <c r="G411" s="107">
        <f>ROUND(SUM(G408:G410),2)</f>
        <v>3.99</v>
      </c>
    </row>
    <row r="412" spans="1:7" s="121" customFormat="1" ht="30">
      <c r="A412" s="148" t="s">
        <v>201</v>
      </c>
      <c r="B412" s="148" t="s">
        <v>1016</v>
      </c>
      <c r="C412" s="149" t="s">
        <v>444</v>
      </c>
      <c r="D412" s="148" t="s">
        <v>5</v>
      </c>
      <c r="E412" s="148">
        <f>E406</f>
        <v>12.25</v>
      </c>
      <c r="F412" s="158">
        <f>ROUND(F413,2)-0.02</f>
        <v>14.25</v>
      </c>
      <c r="G412" s="53">
        <f>ROUND((E412*F412),2)</f>
        <v>174.56</v>
      </c>
    </row>
    <row r="413" spans="1:7" s="121" customFormat="1" ht="45">
      <c r="A413" s="133"/>
      <c r="B413" s="134" t="s">
        <v>1351</v>
      </c>
      <c r="C413" s="135" t="s">
        <v>1352</v>
      </c>
      <c r="D413" s="134" t="s">
        <v>5</v>
      </c>
      <c r="E413" s="134">
        <v>1</v>
      </c>
      <c r="F413" s="136">
        <f>G419</f>
        <v>14.27</v>
      </c>
      <c r="G413" s="60">
        <f>ROUND(E413*F413,2)</f>
        <v>14.27</v>
      </c>
    </row>
    <row r="414" spans="1:7" s="121" customFormat="1" ht="30">
      <c r="A414" s="137"/>
      <c r="B414" s="138" t="s">
        <v>1112</v>
      </c>
      <c r="C414" s="139" t="s">
        <v>1113</v>
      </c>
      <c r="D414" s="138" t="s">
        <v>14</v>
      </c>
      <c r="E414" s="138">
        <v>1.19</v>
      </c>
      <c r="F414" s="143">
        <f>ROUND(0.25,2)</f>
        <v>0.25</v>
      </c>
      <c r="G414" s="107">
        <f>ROUND(E414*F414,2)</f>
        <v>0.3</v>
      </c>
    </row>
    <row r="415" spans="1:7" s="121" customFormat="1" ht="15.75">
      <c r="A415" s="137"/>
      <c r="B415" s="138" t="s">
        <v>1114</v>
      </c>
      <c r="C415" s="139" t="s">
        <v>1115</v>
      </c>
      <c r="D415" s="138" t="s">
        <v>5</v>
      </c>
      <c r="E415" s="138">
        <v>0.025</v>
      </c>
      <c r="F415" s="143">
        <f>ROUND(12.9,2)</f>
        <v>12.9</v>
      </c>
      <c r="G415" s="107">
        <f>ROUND(E415*F415,2)</f>
        <v>0.32</v>
      </c>
    </row>
    <row r="416" spans="1:7" s="121" customFormat="1" ht="15.75">
      <c r="A416" s="137"/>
      <c r="B416" s="138" t="s">
        <v>1116</v>
      </c>
      <c r="C416" s="139" t="s">
        <v>1117</v>
      </c>
      <c r="D416" s="138" t="s">
        <v>6</v>
      </c>
      <c r="E416" s="138">
        <v>0.2245</v>
      </c>
      <c r="F416" s="143">
        <f>ROUND(24.13,2)</f>
        <v>24.13</v>
      </c>
      <c r="G416" s="107">
        <f>ROUND(E416*F416,2)</f>
        <v>5.42</v>
      </c>
    </row>
    <row r="417" spans="1:7" s="121" customFormat="1" ht="15.75">
      <c r="A417" s="137"/>
      <c r="B417" s="138" t="s">
        <v>1118</v>
      </c>
      <c r="C417" s="139" t="s">
        <v>1119</v>
      </c>
      <c r="D417" s="138" t="s">
        <v>6</v>
      </c>
      <c r="E417" s="138">
        <v>0.0367</v>
      </c>
      <c r="F417" s="143">
        <f>ROUND(18.91,2)</f>
        <v>18.91</v>
      </c>
      <c r="G417" s="107">
        <f>ROUND(E417*F417,2)</f>
        <v>0.69</v>
      </c>
    </row>
    <row r="418" spans="1:7" s="121" customFormat="1" ht="30">
      <c r="A418" s="137"/>
      <c r="B418" s="138" t="s">
        <v>1337</v>
      </c>
      <c r="C418" s="139" t="s">
        <v>1338</v>
      </c>
      <c r="D418" s="138" t="s">
        <v>5</v>
      </c>
      <c r="E418" s="138">
        <v>1</v>
      </c>
      <c r="F418" s="143">
        <f>ROUND(7.54,2)</f>
        <v>7.54</v>
      </c>
      <c r="G418" s="107">
        <f>ROUND(E418*F418,2)</f>
        <v>7.54</v>
      </c>
    </row>
    <row r="419" spans="1:7" s="121" customFormat="1" ht="15.75">
      <c r="A419" s="137"/>
      <c r="B419" s="138"/>
      <c r="C419" s="139"/>
      <c r="D419" s="138"/>
      <c r="E419" s="138" t="s">
        <v>7</v>
      </c>
      <c r="F419" s="143"/>
      <c r="G419" s="107">
        <f>ROUND(SUM(G414:G418),2)</f>
        <v>14.27</v>
      </c>
    </row>
    <row r="420" spans="1:7" s="121" customFormat="1" ht="45.75">
      <c r="A420" s="130" t="s">
        <v>203</v>
      </c>
      <c r="B420" s="131" t="s">
        <v>735</v>
      </c>
      <c r="C420" s="131" t="s">
        <v>517</v>
      </c>
      <c r="D420" s="130" t="s">
        <v>5</v>
      </c>
      <c r="E420" s="130">
        <f>42.24+2.23</f>
        <v>44.47</v>
      </c>
      <c r="F420" s="225">
        <f>ROUND(F421,2)</f>
        <v>3.72</v>
      </c>
      <c r="G420" s="35">
        <f>ROUND((E420*F420),2)</f>
        <v>165.43</v>
      </c>
    </row>
    <row r="421" spans="1:7" s="121" customFormat="1" ht="60">
      <c r="A421" s="133"/>
      <c r="B421" s="134" t="s">
        <v>735</v>
      </c>
      <c r="C421" s="135" t="s">
        <v>736</v>
      </c>
      <c r="D421" s="134" t="s">
        <v>5</v>
      </c>
      <c r="E421" s="134">
        <v>1</v>
      </c>
      <c r="F421" s="136">
        <f>G426</f>
        <v>3.72</v>
      </c>
      <c r="G421" s="60">
        <f>ROUND(E421*F421,2)</f>
        <v>3.72</v>
      </c>
    </row>
    <row r="422" spans="1:7" s="121" customFormat="1" ht="15.75">
      <c r="A422" s="137"/>
      <c r="B422" s="138" t="s">
        <v>209</v>
      </c>
      <c r="C422" s="139" t="s">
        <v>737</v>
      </c>
      <c r="D422" s="138" t="s">
        <v>5</v>
      </c>
      <c r="E422" s="138">
        <v>0.37</v>
      </c>
      <c r="F422" s="143">
        <v>3.036</v>
      </c>
      <c r="G422" s="107">
        <f>ROUND(E422*F422,2)</f>
        <v>1.12</v>
      </c>
    </row>
    <row r="423" spans="1:7" s="121" customFormat="1" ht="15.75">
      <c r="A423" s="137"/>
      <c r="B423" s="138" t="s">
        <v>210</v>
      </c>
      <c r="C423" s="139" t="s">
        <v>738</v>
      </c>
      <c r="D423" s="138" t="s">
        <v>5</v>
      </c>
      <c r="E423" s="138">
        <v>0.37</v>
      </c>
      <c r="F423" s="143">
        <v>3.277</v>
      </c>
      <c r="G423" s="107">
        <f>ROUND(E423*F423,2)</f>
        <v>1.21</v>
      </c>
    </row>
    <row r="424" spans="1:7" s="121" customFormat="1" ht="15.75">
      <c r="A424" s="137"/>
      <c r="B424" s="138" t="s">
        <v>211</v>
      </c>
      <c r="C424" s="139" t="s">
        <v>739</v>
      </c>
      <c r="D424" s="138" t="s">
        <v>5</v>
      </c>
      <c r="E424" s="138">
        <v>0.37</v>
      </c>
      <c r="F424" s="143">
        <v>3.252</v>
      </c>
      <c r="G424" s="107">
        <f>ROUND(E424*F424,2)</f>
        <v>1.2</v>
      </c>
    </row>
    <row r="425" spans="1:7" s="121" customFormat="1" ht="15.75">
      <c r="A425" s="137"/>
      <c r="B425" s="138" t="s">
        <v>25</v>
      </c>
      <c r="C425" s="139" t="s">
        <v>734</v>
      </c>
      <c r="D425" s="138" t="s">
        <v>5</v>
      </c>
      <c r="E425" s="138">
        <v>0.03</v>
      </c>
      <c r="F425" s="143">
        <v>6.4</v>
      </c>
      <c r="G425" s="107">
        <f>ROUND(E425*F425,2)</f>
        <v>0.19</v>
      </c>
    </row>
    <row r="426" spans="1:7" s="121" customFormat="1" ht="15.75">
      <c r="A426" s="137"/>
      <c r="B426" s="138"/>
      <c r="C426" s="139"/>
      <c r="D426" s="138"/>
      <c r="E426" s="138" t="s">
        <v>7</v>
      </c>
      <c r="F426" s="143"/>
      <c r="G426" s="107">
        <f>ROUND(SUM(G422:G425),2)</f>
        <v>3.72</v>
      </c>
    </row>
    <row r="427" spans="1:7" s="121" customFormat="1" ht="30">
      <c r="A427" s="130" t="s">
        <v>206</v>
      </c>
      <c r="B427" s="130" t="s">
        <v>1017</v>
      </c>
      <c r="C427" s="131" t="s">
        <v>445</v>
      </c>
      <c r="D427" s="130" t="s">
        <v>5</v>
      </c>
      <c r="E427" s="130">
        <f>E420</f>
        <v>44.47</v>
      </c>
      <c r="F427" s="225">
        <f>ROUND(F428,2)-0.02</f>
        <v>9.110000000000001</v>
      </c>
      <c r="G427" s="35">
        <f>ROUND((E427*F427),2)</f>
        <v>405.12</v>
      </c>
    </row>
    <row r="428" spans="1:7" s="121" customFormat="1" ht="45">
      <c r="A428" s="133"/>
      <c r="B428" s="134" t="s">
        <v>1353</v>
      </c>
      <c r="C428" s="135" t="s">
        <v>1354</v>
      </c>
      <c r="D428" s="134" t="s">
        <v>5</v>
      </c>
      <c r="E428" s="134">
        <v>1</v>
      </c>
      <c r="F428" s="136">
        <f>G434</f>
        <v>9.13</v>
      </c>
      <c r="G428" s="60">
        <f>ROUND(E428*F428,2)</f>
        <v>9.13</v>
      </c>
    </row>
    <row r="429" spans="1:7" s="121" customFormat="1" ht="30">
      <c r="A429" s="137"/>
      <c r="B429" s="138" t="s">
        <v>1112</v>
      </c>
      <c r="C429" s="139" t="s">
        <v>1113</v>
      </c>
      <c r="D429" s="138" t="s">
        <v>14</v>
      </c>
      <c r="E429" s="138">
        <v>0.543</v>
      </c>
      <c r="F429" s="143">
        <f>ROUND(0.25,2)</f>
        <v>0.25</v>
      </c>
      <c r="G429" s="107">
        <f>ROUND(E429*F429,2)</f>
        <v>0.14</v>
      </c>
    </row>
    <row r="430" spans="1:7" s="121" customFormat="1" ht="15.75">
      <c r="A430" s="137"/>
      <c r="B430" s="138" t="s">
        <v>1114</v>
      </c>
      <c r="C430" s="139" t="s">
        <v>1115</v>
      </c>
      <c r="D430" s="138" t="s">
        <v>5</v>
      </c>
      <c r="E430" s="138">
        <v>0.025</v>
      </c>
      <c r="F430" s="143">
        <f>ROUND(12.9,2)</f>
        <v>12.9</v>
      </c>
      <c r="G430" s="107">
        <f>ROUND(E430*F430,2)</f>
        <v>0.32</v>
      </c>
    </row>
    <row r="431" spans="1:7" s="121" customFormat="1" ht="15.75">
      <c r="A431" s="137"/>
      <c r="B431" s="138" t="s">
        <v>1116</v>
      </c>
      <c r="C431" s="139" t="s">
        <v>1117</v>
      </c>
      <c r="D431" s="138" t="s">
        <v>6</v>
      </c>
      <c r="E431" s="138">
        <v>0.0956</v>
      </c>
      <c r="F431" s="143">
        <f>ROUND(24.13,2)</f>
        <v>24.13</v>
      </c>
      <c r="G431" s="107">
        <f>ROUND(E431*F431,2)</f>
        <v>2.31</v>
      </c>
    </row>
    <row r="432" spans="1:7" s="121" customFormat="1" ht="15.75">
      <c r="A432" s="137"/>
      <c r="B432" s="138" t="s">
        <v>1118</v>
      </c>
      <c r="C432" s="139" t="s">
        <v>1119</v>
      </c>
      <c r="D432" s="138" t="s">
        <v>6</v>
      </c>
      <c r="E432" s="138">
        <v>0.0156</v>
      </c>
      <c r="F432" s="143">
        <f>ROUND(18.91,2)</f>
        <v>18.91</v>
      </c>
      <c r="G432" s="107">
        <f>ROUND(E432*F432,2)</f>
        <v>0.29</v>
      </c>
    </row>
    <row r="433" spans="1:7" s="121" customFormat="1" ht="30">
      <c r="A433" s="137"/>
      <c r="B433" s="138" t="s">
        <v>1123</v>
      </c>
      <c r="C433" s="139" t="s">
        <v>1124</v>
      </c>
      <c r="D433" s="138" t="s">
        <v>5</v>
      </c>
      <c r="E433" s="138">
        <v>1</v>
      </c>
      <c r="F433" s="143">
        <f>ROUND(6.07,2)</f>
        <v>6.07</v>
      </c>
      <c r="G433" s="107">
        <f>ROUND(E433*F433,2)</f>
        <v>6.07</v>
      </c>
    </row>
    <row r="434" spans="1:7" s="121" customFormat="1" ht="15.75">
      <c r="A434" s="137"/>
      <c r="B434" s="138"/>
      <c r="C434" s="139"/>
      <c r="D434" s="138"/>
      <c r="E434" s="138" t="s">
        <v>7</v>
      </c>
      <c r="F434" s="143"/>
      <c r="G434" s="107">
        <f>ROUND(SUM(G429:G433),2)</f>
        <v>9.13</v>
      </c>
    </row>
    <row r="435" spans="1:7" s="132" customFormat="1" ht="15.75">
      <c r="A435" s="144" t="s">
        <v>162</v>
      </c>
      <c r="B435" s="144"/>
      <c r="C435" s="165" t="s">
        <v>202</v>
      </c>
      <c r="D435" s="144"/>
      <c r="E435" s="144"/>
      <c r="F435" s="144"/>
      <c r="G435" s="28"/>
    </row>
    <row r="436" spans="1:7" s="132" customFormat="1" ht="30">
      <c r="A436" s="144" t="s">
        <v>207</v>
      </c>
      <c r="B436" s="144" t="s">
        <v>744</v>
      </c>
      <c r="C436" s="145" t="s">
        <v>447</v>
      </c>
      <c r="D436" s="144" t="s">
        <v>1</v>
      </c>
      <c r="E436" s="144">
        <v>2.86</v>
      </c>
      <c r="F436" s="146">
        <f>ROUND(F437,2)-0.01</f>
        <v>303.89</v>
      </c>
      <c r="G436" s="28">
        <f>ROUND((E436*F436),2)</f>
        <v>869.13</v>
      </c>
    </row>
    <row r="437" spans="1:7" s="132" customFormat="1" ht="45">
      <c r="A437" s="137"/>
      <c r="B437" s="138" t="s">
        <v>744</v>
      </c>
      <c r="C437" s="139" t="s">
        <v>745</v>
      </c>
      <c r="D437" s="138" t="s">
        <v>1</v>
      </c>
      <c r="E437" s="138">
        <v>1</v>
      </c>
      <c r="F437" s="143">
        <f>G443</f>
        <v>303.9</v>
      </c>
      <c r="G437" s="107">
        <f>ROUND(E437*F437,2)</f>
        <v>303.9</v>
      </c>
    </row>
    <row r="438" spans="1:7" s="132" customFormat="1" ht="15.75">
      <c r="A438" s="137"/>
      <c r="B438" s="138" t="s">
        <v>93</v>
      </c>
      <c r="C438" s="139" t="s">
        <v>746</v>
      </c>
      <c r="D438" s="138" t="s">
        <v>94</v>
      </c>
      <c r="E438" s="138">
        <v>1.385475</v>
      </c>
      <c r="F438" s="143">
        <v>50.26</v>
      </c>
      <c r="G438" s="107">
        <f>ROUND(E438*F438,2)</f>
        <v>69.63</v>
      </c>
    </row>
    <row r="439" spans="1:7" s="132" customFormat="1" ht="15.75">
      <c r="A439" s="137"/>
      <c r="B439" s="138" t="s">
        <v>17</v>
      </c>
      <c r="C439" s="139" t="s">
        <v>1357</v>
      </c>
      <c r="D439" s="138" t="s">
        <v>5</v>
      </c>
      <c r="E439" s="138">
        <v>189</v>
      </c>
      <c r="F439" s="143">
        <v>0.347</v>
      </c>
      <c r="G439" s="107">
        <f>ROUND(E439*F439,2)</f>
        <v>65.58</v>
      </c>
    </row>
    <row r="440" spans="1:7" s="132" customFormat="1" ht="15.75">
      <c r="A440" s="137"/>
      <c r="B440" s="138" t="s">
        <v>19</v>
      </c>
      <c r="C440" s="139" t="s">
        <v>747</v>
      </c>
      <c r="D440" s="138" t="s">
        <v>1</v>
      </c>
      <c r="E440" s="138">
        <v>0.63</v>
      </c>
      <c r="F440" s="143">
        <v>55</v>
      </c>
      <c r="G440" s="107">
        <f>ROUND(E440*F440,2)</f>
        <v>34.65</v>
      </c>
    </row>
    <row r="441" spans="1:7" s="132" customFormat="1" ht="15.75">
      <c r="A441" s="137"/>
      <c r="B441" s="138" t="s">
        <v>748</v>
      </c>
      <c r="C441" s="139" t="s">
        <v>749</v>
      </c>
      <c r="D441" s="138" t="s">
        <v>1</v>
      </c>
      <c r="E441" s="138">
        <v>1</v>
      </c>
      <c r="F441" s="143">
        <v>59.1602</v>
      </c>
      <c r="G441" s="107">
        <f>ROUND(E441*F441,2)</f>
        <v>59.16</v>
      </c>
    </row>
    <row r="442" spans="1:7" s="132" customFormat="1" ht="15.75">
      <c r="A442" s="137"/>
      <c r="B442" s="138" t="s">
        <v>750</v>
      </c>
      <c r="C442" s="139" t="s">
        <v>751</v>
      </c>
      <c r="D442" s="138" t="s">
        <v>1</v>
      </c>
      <c r="E442" s="138">
        <v>1</v>
      </c>
      <c r="F442" s="143">
        <v>74.8776</v>
      </c>
      <c r="G442" s="107">
        <f>ROUND(E442*F442,2)</f>
        <v>74.88</v>
      </c>
    </row>
    <row r="443" spans="1:7" s="132" customFormat="1" ht="15.75">
      <c r="A443" s="137"/>
      <c r="B443" s="138"/>
      <c r="C443" s="139"/>
      <c r="D443" s="138"/>
      <c r="E443" s="138" t="s">
        <v>7</v>
      </c>
      <c r="F443" s="143"/>
      <c r="G443" s="107">
        <f>ROUND(SUM(G438:G442),2)</f>
        <v>303.9</v>
      </c>
    </row>
    <row r="444" spans="1:8" s="132" customFormat="1" ht="45">
      <c r="A444" s="144" t="s">
        <v>208</v>
      </c>
      <c r="B444" s="144" t="s">
        <v>752</v>
      </c>
      <c r="C444" s="145" t="s">
        <v>448</v>
      </c>
      <c r="D444" s="144" t="s">
        <v>1</v>
      </c>
      <c r="E444" s="144">
        <v>49.81</v>
      </c>
      <c r="F444" s="146">
        <f>ROUND(F445,2)-0.04</f>
        <v>425.7</v>
      </c>
      <c r="G444" s="28">
        <f>ROUND((E444*F444),2)</f>
        <v>21204.12</v>
      </c>
      <c r="H444" s="132">
        <f>21.3/E444</f>
        <v>0.42762497490463763</v>
      </c>
    </row>
    <row r="445" spans="1:7" s="132" customFormat="1" ht="45">
      <c r="A445" s="137"/>
      <c r="B445" s="138" t="s">
        <v>752</v>
      </c>
      <c r="C445" s="139" t="s">
        <v>753</v>
      </c>
      <c r="D445" s="138" t="s">
        <v>1</v>
      </c>
      <c r="E445" s="138">
        <v>1</v>
      </c>
      <c r="F445" s="143">
        <f>G455</f>
        <v>425.74</v>
      </c>
      <c r="G445" s="107">
        <f>ROUND(E445*F445,2)</f>
        <v>425.74</v>
      </c>
    </row>
    <row r="446" spans="1:7" s="132" customFormat="1" ht="15.75">
      <c r="A446" s="137"/>
      <c r="B446" s="138" t="s">
        <v>204</v>
      </c>
      <c r="C446" s="139" t="s">
        <v>754</v>
      </c>
      <c r="D446" s="138" t="s">
        <v>1</v>
      </c>
      <c r="E446" s="138">
        <v>1.05</v>
      </c>
      <c r="F446" s="143">
        <v>323.14</v>
      </c>
      <c r="G446" s="107">
        <f>ROUND(E446*F446,2)</f>
        <v>339.3</v>
      </c>
    </row>
    <row r="447" spans="1:7" s="132" customFormat="1" ht="30">
      <c r="A447" s="137"/>
      <c r="B447" s="138" t="s">
        <v>597</v>
      </c>
      <c r="C447" s="139" t="s">
        <v>598</v>
      </c>
      <c r="D447" s="138" t="s">
        <v>6</v>
      </c>
      <c r="E447" s="138">
        <v>1.6480000000000001</v>
      </c>
      <c r="F447" s="143">
        <v>12.54</v>
      </c>
      <c r="G447" s="107">
        <f>ROUND(E447*F447,2)</f>
        <v>20.67</v>
      </c>
    </row>
    <row r="448" spans="1:7" s="132" customFormat="1" ht="15.75">
      <c r="A448" s="137"/>
      <c r="B448" s="138" t="s">
        <v>692</v>
      </c>
      <c r="C448" s="139" t="s">
        <v>693</v>
      </c>
      <c r="D448" s="138" t="s">
        <v>6</v>
      </c>
      <c r="E448" s="138">
        <v>0.618</v>
      </c>
      <c r="F448" s="143">
        <v>17.3</v>
      </c>
      <c r="G448" s="107">
        <f>ROUND(E448*F448,2)</f>
        <v>10.69</v>
      </c>
    </row>
    <row r="449" spans="1:7" s="132" customFormat="1" ht="30">
      <c r="A449" s="137"/>
      <c r="B449" s="138" t="s">
        <v>755</v>
      </c>
      <c r="C449" s="139" t="s">
        <v>756</v>
      </c>
      <c r="D449" s="138" t="s">
        <v>6</v>
      </c>
      <c r="E449" s="138">
        <v>0.618</v>
      </c>
      <c r="F449" s="143">
        <v>17.3</v>
      </c>
      <c r="G449" s="107">
        <f>ROUND(E449*F449,2)</f>
        <v>10.69</v>
      </c>
    </row>
    <row r="450" spans="1:7" s="132" customFormat="1" ht="30">
      <c r="A450" s="137"/>
      <c r="B450" s="138" t="s">
        <v>757</v>
      </c>
      <c r="C450" s="139" t="s">
        <v>758</v>
      </c>
      <c r="D450" s="138" t="s">
        <v>6</v>
      </c>
      <c r="E450" s="138">
        <v>0.618</v>
      </c>
      <c r="F450" s="143">
        <v>17.3</v>
      </c>
      <c r="G450" s="107">
        <f>ROUND(E450*F450,2)</f>
        <v>10.69</v>
      </c>
    </row>
    <row r="451" spans="1:7" s="132" customFormat="1" ht="15.75">
      <c r="A451" s="137"/>
      <c r="B451" s="138" t="s">
        <v>205</v>
      </c>
      <c r="C451" s="139" t="s">
        <v>759</v>
      </c>
      <c r="D451" s="138" t="s">
        <v>1</v>
      </c>
      <c r="E451" s="138">
        <v>1</v>
      </c>
      <c r="F451" s="143">
        <v>30</v>
      </c>
      <c r="G451" s="107">
        <f>ROUND(E451*F451,2)</f>
        <v>30</v>
      </c>
    </row>
    <row r="452" spans="1:7" s="132" customFormat="1" ht="15.75">
      <c r="A452" s="137"/>
      <c r="B452" s="138" t="s">
        <v>760</v>
      </c>
      <c r="C452" s="139" t="s">
        <v>761</v>
      </c>
      <c r="D452" s="138" t="s">
        <v>6</v>
      </c>
      <c r="E452" s="138">
        <v>0.39</v>
      </c>
      <c r="F452" s="143">
        <v>0.221</v>
      </c>
      <c r="G452" s="107">
        <f>ROUND(E452*F452,2)</f>
        <v>0.09</v>
      </c>
    </row>
    <row r="453" spans="1:7" s="132" customFormat="1" ht="15.75">
      <c r="A453" s="137"/>
      <c r="B453" s="138" t="s">
        <v>762</v>
      </c>
      <c r="C453" s="139" t="s">
        <v>763</v>
      </c>
      <c r="D453" s="138" t="s">
        <v>6</v>
      </c>
      <c r="E453" s="138">
        <v>0.23</v>
      </c>
      <c r="F453" s="143">
        <v>1.1619</v>
      </c>
      <c r="G453" s="107">
        <f>ROUND(E453*F453,2)</f>
        <v>0.27</v>
      </c>
    </row>
    <row r="454" spans="1:7" s="132" customFormat="1" ht="15.75">
      <c r="A454" s="137"/>
      <c r="B454" s="138" t="s">
        <v>695</v>
      </c>
      <c r="C454" s="139" t="s">
        <v>696</v>
      </c>
      <c r="D454" s="138" t="s">
        <v>1</v>
      </c>
      <c r="E454" s="138">
        <v>0.0125</v>
      </c>
      <c r="F454" s="143">
        <v>267.2254</v>
      </c>
      <c r="G454" s="107">
        <f>ROUND(E454*F454,2)</f>
        <v>3.34</v>
      </c>
    </row>
    <row r="455" spans="1:7" s="132" customFormat="1" ht="15.75">
      <c r="A455" s="137"/>
      <c r="B455" s="138"/>
      <c r="C455" s="139"/>
      <c r="D455" s="138"/>
      <c r="E455" s="138" t="s">
        <v>7</v>
      </c>
      <c r="F455" s="143"/>
      <c r="G455" s="107">
        <f>ROUND(SUM(G446:G454),2)</f>
        <v>425.74</v>
      </c>
    </row>
    <row r="456" spans="1:8" s="132" customFormat="1" ht="45">
      <c r="A456" s="144" t="s">
        <v>212</v>
      </c>
      <c r="B456" s="144" t="s">
        <v>764</v>
      </c>
      <c r="C456" s="145" t="s">
        <v>519</v>
      </c>
      <c r="D456" s="144" t="s">
        <v>0</v>
      </c>
      <c r="E456" s="144">
        <v>268.02</v>
      </c>
      <c r="F456" s="146">
        <f>ROUND(F457,2)-0.04</f>
        <v>64.86999999999999</v>
      </c>
      <c r="G456" s="28">
        <f>ROUND((E456*F456),2)</f>
        <v>17386.46</v>
      </c>
      <c r="H456" s="132">
        <f>74.45/E456</f>
        <v>0.2777777777777778</v>
      </c>
    </row>
    <row r="457" spans="1:7" s="132" customFormat="1" ht="45">
      <c r="A457" s="137"/>
      <c r="B457" s="138" t="s">
        <v>764</v>
      </c>
      <c r="C457" s="139" t="s">
        <v>765</v>
      </c>
      <c r="D457" s="138" t="s">
        <v>0</v>
      </c>
      <c r="E457" s="138">
        <v>1</v>
      </c>
      <c r="F457" s="143">
        <f>G465</f>
        <v>64.91</v>
      </c>
      <c r="G457" s="107">
        <f>ROUND(E457*F457,2)</f>
        <v>64.91</v>
      </c>
    </row>
    <row r="458" spans="1:7" s="132" customFormat="1" ht="30">
      <c r="A458" s="137"/>
      <c r="B458" s="138" t="s">
        <v>4</v>
      </c>
      <c r="C458" s="139" t="s">
        <v>593</v>
      </c>
      <c r="D458" s="138" t="s">
        <v>5</v>
      </c>
      <c r="E458" s="138">
        <v>0.1</v>
      </c>
      <c r="F458" s="143">
        <v>8.39</v>
      </c>
      <c r="G458" s="107">
        <f>ROUND(E458*F458,2)</f>
        <v>0.84</v>
      </c>
    </row>
    <row r="459" spans="1:7" s="132" customFormat="1" ht="15.75">
      <c r="A459" s="137"/>
      <c r="B459" s="138" t="s">
        <v>2</v>
      </c>
      <c r="C459" s="139" t="s">
        <v>594</v>
      </c>
      <c r="D459" s="138" t="s">
        <v>3</v>
      </c>
      <c r="E459" s="138">
        <v>1.1</v>
      </c>
      <c r="F459" s="143">
        <v>3.25</v>
      </c>
      <c r="G459" s="107">
        <f>ROUND(E459*F459,2)</f>
        <v>3.58</v>
      </c>
    </row>
    <row r="460" spans="1:7" s="132" customFormat="1" ht="15.75">
      <c r="A460" s="137"/>
      <c r="B460" s="138" t="s">
        <v>122</v>
      </c>
      <c r="C460" s="139" t="s">
        <v>627</v>
      </c>
      <c r="D460" s="138" t="s">
        <v>3</v>
      </c>
      <c r="E460" s="138">
        <v>2.8</v>
      </c>
      <c r="F460" s="143">
        <v>4.3636</v>
      </c>
      <c r="G460" s="107">
        <f>ROUND(E460*F460,2)</f>
        <v>12.22</v>
      </c>
    </row>
    <row r="461" spans="1:7" s="132" customFormat="1" ht="15.75">
      <c r="A461" s="137"/>
      <c r="B461" s="138" t="s">
        <v>26</v>
      </c>
      <c r="C461" s="139" t="s">
        <v>766</v>
      </c>
      <c r="D461" s="138" t="s">
        <v>3</v>
      </c>
      <c r="E461" s="138">
        <v>2.1</v>
      </c>
      <c r="F461" s="143">
        <v>6.42</v>
      </c>
      <c r="G461" s="107">
        <f>ROUND(E461*F461,2)</f>
        <v>13.48</v>
      </c>
    </row>
    <row r="462" spans="1:7" s="132" customFormat="1" ht="30">
      <c r="A462" s="137"/>
      <c r="B462" s="138" t="s">
        <v>597</v>
      </c>
      <c r="C462" s="139" t="s">
        <v>598</v>
      </c>
      <c r="D462" s="138" t="s">
        <v>6</v>
      </c>
      <c r="E462" s="138">
        <v>1.0815000000000001</v>
      </c>
      <c r="F462" s="143">
        <f>ROUND(12.54,2)</f>
        <v>12.54</v>
      </c>
      <c r="G462" s="107">
        <f>ROUND(E462*F462,2)</f>
        <v>13.56</v>
      </c>
    </row>
    <row r="463" spans="1:7" s="132" customFormat="1" ht="30">
      <c r="A463" s="137"/>
      <c r="B463" s="138" t="s">
        <v>755</v>
      </c>
      <c r="C463" s="139" t="s">
        <v>756</v>
      </c>
      <c r="D463" s="138" t="s">
        <v>6</v>
      </c>
      <c r="E463" s="138">
        <v>1.0815000000000001</v>
      </c>
      <c r="F463" s="143">
        <v>17.3</v>
      </c>
      <c r="G463" s="107">
        <f>ROUND(E463*F463,2)</f>
        <v>18.71</v>
      </c>
    </row>
    <row r="464" spans="1:7" s="132" customFormat="1" ht="15.75">
      <c r="A464" s="137"/>
      <c r="B464" s="138" t="s">
        <v>767</v>
      </c>
      <c r="C464" s="139" t="s">
        <v>768</v>
      </c>
      <c r="D464" s="138" t="s">
        <v>0</v>
      </c>
      <c r="E464" s="138">
        <v>1</v>
      </c>
      <c r="F464" s="143">
        <v>2.522</v>
      </c>
      <c r="G464" s="107">
        <f>ROUND(E464*F464,2)</f>
        <v>2.52</v>
      </c>
    </row>
    <row r="465" spans="1:7" s="132" customFormat="1" ht="15.75">
      <c r="A465" s="137"/>
      <c r="B465" s="138"/>
      <c r="C465" s="139"/>
      <c r="D465" s="138"/>
      <c r="E465" s="138" t="s">
        <v>7</v>
      </c>
      <c r="F465" s="143"/>
      <c r="G465" s="107">
        <f>ROUND(SUM(G458:G464),2)</f>
        <v>64.91</v>
      </c>
    </row>
    <row r="466" spans="1:8" s="132" customFormat="1" ht="45.75">
      <c r="A466" s="144" t="s">
        <v>216</v>
      </c>
      <c r="B466" s="144" t="s">
        <v>735</v>
      </c>
      <c r="C466" s="145" t="s">
        <v>520</v>
      </c>
      <c r="D466" s="144" t="s">
        <v>5</v>
      </c>
      <c r="E466" s="144">
        <f>1362.79+239.65+771.88</f>
        <v>2374.32</v>
      </c>
      <c r="F466" s="146">
        <f>ROUND(F467,2)</f>
        <v>3.72</v>
      </c>
      <c r="G466" s="28">
        <f>ROUND((E466*F466),2)</f>
        <v>8832.47</v>
      </c>
      <c r="H466" s="132">
        <f>1068.16/E466</f>
        <v>0.44988038680548537</v>
      </c>
    </row>
    <row r="467" spans="1:7" s="132" customFormat="1" ht="60">
      <c r="A467" s="137"/>
      <c r="B467" s="138" t="s">
        <v>735</v>
      </c>
      <c r="C467" s="139" t="s">
        <v>736</v>
      </c>
      <c r="D467" s="138" t="s">
        <v>5</v>
      </c>
      <c r="E467" s="138">
        <v>1</v>
      </c>
      <c r="F467" s="143">
        <f>G472</f>
        <v>3.72</v>
      </c>
      <c r="G467" s="107">
        <f>ROUND(E467*F467,2)</f>
        <v>3.72</v>
      </c>
    </row>
    <row r="468" spans="1:7" s="132" customFormat="1" ht="15.75">
      <c r="A468" s="137"/>
      <c r="B468" s="138" t="s">
        <v>209</v>
      </c>
      <c r="C468" s="139" t="s">
        <v>737</v>
      </c>
      <c r="D468" s="138" t="s">
        <v>5</v>
      </c>
      <c r="E468" s="138">
        <v>0.37</v>
      </c>
      <c r="F468" s="143">
        <v>3.036</v>
      </c>
      <c r="G468" s="107">
        <f>ROUND(E468*F468,2)</f>
        <v>1.12</v>
      </c>
    </row>
    <row r="469" spans="1:7" s="132" customFormat="1" ht="15.75">
      <c r="A469" s="137"/>
      <c r="B469" s="138" t="s">
        <v>210</v>
      </c>
      <c r="C469" s="139" t="s">
        <v>738</v>
      </c>
      <c r="D469" s="138" t="s">
        <v>5</v>
      </c>
      <c r="E469" s="138">
        <v>0.37</v>
      </c>
      <c r="F469" s="143">
        <v>3.277</v>
      </c>
      <c r="G469" s="107">
        <f>ROUND(E469*F469,2)</f>
        <v>1.21</v>
      </c>
    </row>
    <row r="470" spans="1:7" s="132" customFormat="1" ht="15.75">
      <c r="A470" s="137"/>
      <c r="B470" s="138" t="s">
        <v>211</v>
      </c>
      <c r="C470" s="139" t="s">
        <v>739</v>
      </c>
      <c r="D470" s="138" t="s">
        <v>5</v>
      </c>
      <c r="E470" s="138">
        <v>0.37</v>
      </c>
      <c r="F470" s="143">
        <v>3.252</v>
      </c>
      <c r="G470" s="107">
        <f>ROUND(E470*F470,2)</f>
        <v>1.2</v>
      </c>
    </row>
    <row r="471" spans="1:7" s="132" customFormat="1" ht="15.75">
      <c r="A471" s="137"/>
      <c r="B471" s="138" t="s">
        <v>25</v>
      </c>
      <c r="C471" s="139" t="s">
        <v>734</v>
      </c>
      <c r="D471" s="138" t="s">
        <v>5</v>
      </c>
      <c r="E471" s="138">
        <v>0.03</v>
      </c>
      <c r="F471" s="143">
        <v>6.4</v>
      </c>
      <c r="G471" s="107">
        <f>ROUND(E471*F471,2)</f>
        <v>0.19</v>
      </c>
    </row>
    <row r="472" spans="1:7" s="132" customFormat="1" ht="15.75">
      <c r="A472" s="137"/>
      <c r="B472" s="138"/>
      <c r="C472" s="139"/>
      <c r="D472" s="138"/>
      <c r="E472" s="138" t="s">
        <v>7</v>
      </c>
      <c r="F472" s="143"/>
      <c r="G472" s="107">
        <f>ROUND(SUM(G468:G471),2)</f>
        <v>3.72</v>
      </c>
    </row>
    <row r="473" spans="1:8" s="132" customFormat="1" ht="45.75">
      <c r="A473" s="144" t="s">
        <v>217</v>
      </c>
      <c r="B473" s="144" t="s">
        <v>769</v>
      </c>
      <c r="C473" s="145" t="s">
        <v>521</v>
      </c>
      <c r="D473" s="144" t="s">
        <v>5</v>
      </c>
      <c r="E473" s="144">
        <v>2626.91</v>
      </c>
      <c r="F473" s="146">
        <f>ROUND(F474,2)-0.01</f>
        <v>3.18</v>
      </c>
      <c r="G473" s="28">
        <f>ROUND((E473*F473),2)</f>
        <v>8353.57</v>
      </c>
      <c r="H473" s="132">
        <f>1025.34/E473</f>
        <v>0.3903217087757099</v>
      </c>
    </row>
    <row r="474" spans="1:7" s="132" customFormat="1" ht="60">
      <c r="A474" s="137"/>
      <c r="B474" s="138" t="s">
        <v>769</v>
      </c>
      <c r="C474" s="139" t="s">
        <v>770</v>
      </c>
      <c r="D474" s="138" t="s">
        <v>5</v>
      </c>
      <c r="E474" s="138">
        <v>1</v>
      </c>
      <c r="F474" s="143">
        <f>G479</f>
        <v>3.19</v>
      </c>
      <c r="G474" s="107">
        <f>ROUND(E474*F474,2)</f>
        <v>3.19</v>
      </c>
    </row>
    <row r="475" spans="1:7" s="132" customFormat="1" ht="15.75">
      <c r="A475" s="137"/>
      <c r="B475" s="138" t="s">
        <v>213</v>
      </c>
      <c r="C475" s="139" t="s">
        <v>771</v>
      </c>
      <c r="D475" s="138" t="s">
        <v>5</v>
      </c>
      <c r="E475" s="138">
        <v>0.3333</v>
      </c>
      <c r="F475" s="143">
        <v>2.854</v>
      </c>
      <c r="G475" s="107">
        <f>ROUND(E475*F475,2)</f>
        <v>0.95</v>
      </c>
    </row>
    <row r="476" spans="1:7" s="132" customFormat="1" ht="15.75">
      <c r="A476" s="137"/>
      <c r="B476" s="138" t="s">
        <v>214</v>
      </c>
      <c r="C476" s="139" t="s">
        <v>772</v>
      </c>
      <c r="D476" s="138" t="s">
        <v>5</v>
      </c>
      <c r="E476" s="138">
        <v>0.3333</v>
      </c>
      <c r="F476" s="143">
        <v>3.137</v>
      </c>
      <c r="G476" s="107">
        <f>ROUND(E476*F476,2)</f>
        <v>1.05</v>
      </c>
    </row>
    <row r="477" spans="1:7" s="132" customFormat="1" ht="15.75">
      <c r="A477" s="137"/>
      <c r="B477" s="138" t="s">
        <v>215</v>
      </c>
      <c r="C477" s="139" t="s">
        <v>773</v>
      </c>
      <c r="D477" s="138" t="s">
        <v>5</v>
      </c>
      <c r="E477" s="138">
        <v>0.3334</v>
      </c>
      <c r="F477" s="143">
        <v>3.013</v>
      </c>
      <c r="G477" s="107">
        <f>ROUND(E477*F477,2)</f>
        <v>1</v>
      </c>
    </row>
    <row r="478" spans="1:7" s="132" customFormat="1" ht="15.75">
      <c r="A478" s="137"/>
      <c r="B478" s="138" t="s">
        <v>25</v>
      </c>
      <c r="C478" s="139" t="s">
        <v>734</v>
      </c>
      <c r="D478" s="138" t="s">
        <v>5</v>
      </c>
      <c r="E478" s="138">
        <v>0.03</v>
      </c>
      <c r="F478" s="143">
        <v>6.4</v>
      </c>
      <c r="G478" s="107">
        <f>ROUND(E478*F478,2)</f>
        <v>0.19</v>
      </c>
    </row>
    <row r="479" spans="1:7" s="132" customFormat="1" ht="15.75">
      <c r="A479" s="137"/>
      <c r="B479" s="138"/>
      <c r="C479" s="139"/>
      <c r="D479" s="138"/>
      <c r="E479" s="138" t="s">
        <v>7</v>
      </c>
      <c r="F479" s="143"/>
      <c r="G479" s="107">
        <f>ROUND(SUM(G475:G478),2)</f>
        <v>3.19</v>
      </c>
    </row>
    <row r="480" spans="1:7" s="132" customFormat="1" ht="30">
      <c r="A480" s="144" t="s">
        <v>218</v>
      </c>
      <c r="B480" s="144" t="s">
        <v>774</v>
      </c>
      <c r="C480" s="145" t="s">
        <v>449</v>
      </c>
      <c r="D480" s="144" t="s">
        <v>5</v>
      </c>
      <c r="E480" s="144">
        <f>1362.79+239.65+771.88</f>
        <v>2374.32</v>
      </c>
      <c r="F480" s="146">
        <f>ROUND(F481,2)-0.01</f>
        <v>3.22</v>
      </c>
      <c r="G480" s="28">
        <f>ROUND((E480*F480),2)</f>
        <v>7645.31</v>
      </c>
    </row>
    <row r="481" spans="1:7" s="132" customFormat="1" ht="45">
      <c r="A481" s="137"/>
      <c r="B481" s="138" t="s">
        <v>774</v>
      </c>
      <c r="C481" s="139" t="s">
        <v>775</v>
      </c>
      <c r="D481" s="138" t="s">
        <v>5</v>
      </c>
      <c r="E481" s="138">
        <v>1</v>
      </c>
      <c r="F481" s="143">
        <f>ROUND(3.227196,2)</f>
        <v>3.23</v>
      </c>
      <c r="G481" s="107">
        <f>ROUND(E481*F481,2)</f>
        <v>3.23</v>
      </c>
    </row>
    <row r="482" spans="1:7" s="132" customFormat="1" ht="30">
      <c r="A482" s="137"/>
      <c r="B482" s="138" t="s">
        <v>597</v>
      </c>
      <c r="C482" s="139" t="s">
        <v>598</v>
      </c>
      <c r="D482" s="138" t="s">
        <v>6</v>
      </c>
      <c r="E482" s="138">
        <v>0.10815</v>
      </c>
      <c r="F482" s="143">
        <v>12.54</v>
      </c>
      <c r="G482" s="107">
        <f>ROUND(E482*F482,2)</f>
        <v>1.36</v>
      </c>
    </row>
    <row r="483" spans="1:7" s="132" customFormat="1" ht="30">
      <c r="A483" s="137"/>
      <c r="B483" s="138" t="s">
        <v>757</v>
      </c>
      <c r="C483" s="139" t="s">
        <v>758</v>
      </c>
      <c r="D483" s="138" t="s">
        <v>6</v>
      </c>
      <c r="E483" s="138">
        <v>0.10815</v>
      </c>
      <c r="F483" s="143">
        <v>17.3</v>
      </c>
      <c r="G483" s="107">
        <f>ROUND(E483*F483,2)</f>
        <v>1.87</v>
      </c>
    </row>
    <row r="484" spans="1:7" s="132" customFormat="1" ht="15.75">
      <c r="A484" s="137"/>
      <c r="B484" s="138"/>
      <c r="C484" s="139"/>
      <c r="D484" s="138"/>
      <c r="E484" s="138" t="s">
        <v>7</v>
      </c>
      <c r="F484" s="143"/>
      <c r="G484" s="107">
        <f>ROUND(SUM(G482:G483),2)</f>
        <v>3.23</v>
      </c>
    </row>
    <row r="485" spans="1:7" s="132" customFormat="1" ht="30">
      <c r="A485" s="144" t="s">
        <v>219</v>
      </c>
      <c r="B485" s="144" t="s">
        <v>776</v>
      </c>
      <c r="C485" s="145" t="s">
        <v>548</v>
      </c>
      <c r="D485" s="144" t="s">
        <v>5</v>
      </c>
      <c r="E485" s="144">
        <v>2626.91</v>
      </c>
      <c r="F485" s="146">
        <f>ROUND(F486,2)</f>
        <v>2.76</v>
      </c>
      <c r="G485" s="28">
        <f>ROUND((E485*F485),2)</f>
        <v>7250.27</v>
      </c>
    </row>
    <row r="486" spans="1:7" s="132" customFormat="1" ht="30">
      <c r="A486" s="137"/>
      <c r="B486" s="138" t="s">
        <v>776</v>
      </c>
      <c r="C486" s="139" t="s">
        <v>777</v>
      </c>
      <c r="D486" s="138" t="s">
        <v>5</v>
      </c>
      <c r="E486" s="138">
        <v>1</v>
      </c>
      <c r="F486" s="143">
        <f>G489</f>
        <v>2.76</v>
      </c>
      <c r="G486" s="107">
        <f>ROUND(E486*F486,2)</f>
        <v>2.76</v>
      </c>
    </row>
    <row r="487" spans="1:7" s="132" customFormat="1" ht="30">
      <c r="A487" s="137"/>
      <c r="B487" s="138" t="s">
        <v>597</v>
      </c>
      <c r="C487" s="139" t="s">
        <v>598</v>
      </c>
      <c r="D487" s="138" t="s">
        <v>6</v>
      </c>
      <c r="E487" s="138">
        <v>0.0927</v>
      </c>
      <c r="F487" s="143">
        <v>12.54</v>
      </c>
      <c r="G487" s="107">
        <f>ROUND(E487*F487,2)</f>
        <v>1.16</v>
      </c>
    </row>
    <row r="488" spans="1:7" s="132" customFormat="1" ht="30">
      <c r="A488" s="137"/>
      <c r="B488" s="138" t="s">
        <v>757</v>
      </c>
      <c r="C488" s="139" t="s">
        <v>758</v>
      </c>
      <c r="D488" s="138" t="s">
        <v>6</v>
      </c>
      <c r="E488" s="138">
        <v>0.0927</v>
      </c>
      <c r="F488" s="143">
        <v>17.3</v>
      </c>
      <c r="G488" s="107">
        <f>ROUND(E488*F488,2)</f>
        <v>1.6</v>
      </c>
    </row>
    <row r="489" spans="1:7" s="132" customFormat="1" ht="15.75">
      <c r="A489" s="137"/>
      <c r="B489" s="138"/>
      <c r="C489" s="139"/>
      <c r="D489" s="138"/>
      <c r="E489" s="138" t="s">
        <v>7</v>
      </c>
      <c r="F489" s="143"/>
      <c r="G489" s="107">
        <f>ROUND(SUM(G487:G488),2)</f>
        <v>2.76</v>
      </c>
    </row>
    <row r="490" spans="1:7" s="296" customFormat="1" ht="45">
      <c r="A490" s="144" t="s">
        <v>220</v>
      </c>
      <c r="B490" s="144" t="s">
        <v>778</v>
      </c>
      <c r="C490" s="145" t="s">
        <v>450</v>
      </c>
      <c r="D490" s="144" t="s">
        <v>1</v>
      </c>
      <c r="E490" s="144">
        <v>203.7</v>
      </c>
      <c r="F490" s="146">
        <f>ROUND(F491,2)-0.03</f>
        <v>15.980000000000002</v>
      </c>
      <c r="G490" s="28">
        <f>ROUND((E490*F490),2)</f>
        <v>3255.13</v>
      </c>
    </row>
    <row r="491" spans="1:7" s="121" customFormat="1" ht="60">
      <c r="A491" s="137"/>
      <c r="B491" s="138" t="s">
        <v>778</v>
      </c>
      <c r="C491" s="139" t="s">
        <v>779</v>
      </c>
      <c r="D491" s="138" t="s">
        <v>1</v>
      </c>
      <c r="E491" s="138">
        <v>1</v>
      </c>
      <c r="F491" s="143">
        <f>G495</f>
        <v>16.01</v>
      </c>
      <c r="G491" s="107">
        <f>ROUND(E491*F491,2)</f>
        <v>16.01</v>
      </c>
    </row>
    <row r="492" spans="1:7" s="121" customFormat="1" ht="30">
      <c r="A492" s="137"/>
      <c r="B492" s="138" t="s">
        <v>597</v>
      </c>
      <c r="C492" s="139" t="s">
        <v>598</v>
      </c>
      <c r="D492" s="138" t="s">
        <v>6</v>
      </c>
      <c r="E492" s="138">
        <v>0.14</v>
      </c>
      <c r="F492" s="143">
        <v>12.54</v>
      </c>
      <c r="G492" s="107">
        <f>ROUND(E492*F492,2)</f>
        <v>1.76</v>
      </c>
    </row>
    <row r="493" spans="1:7" s="121" customFormat="1" ht="15.75">
      <c r="A493" s="137"/>
      <c r="B493" s="138" t="s">
        <v>780</v>
      </c>
      <c r="C493" s="139" t="s">
        <v>781</v>
      </c>
      <c r="D493" s="138" t="s">
        <v>6</v>
      </c>
      <c r="E493" s="138">
        <v>0.021</v>
      </c>
      <c r="F493" s="143">
        <v>38.452</v>
      </c>
      <c r="G493" s="107">
        <f>ROUND(E493*F493,2)</f>
        <v>0.81</v>
      </c>
    </row>
    <row r="494" spans="1:7" s="121" customFormat="1" ht="15.75">
      <c r="A494" s="137"/>
      <c r="B494" s="138" t="s">
        <v>782</v>
      </c>
      <c r="C494" s="139" t="s">
        <v>783</v>
      </c>
      <c r="D494" s="138" t="s">
        <v>6</v>
      </c>
      <c r="E494" s="138">
        <v>0.119</v>
      </c>
      <c r="F494" s="143">
        <v>112.922</v>
      </c>
      <c r="G494" s="107">
        <f>ROUND(E494*F494,2)</f>
        <v>13.44</v>
      </c>
    </row>
    <row r="495" spans="1:7" s="121" customFormat="1" ht="15.75">
      <c r="A495" s="137"/>
      <c r="B495" s="138"/>
      <c r="C495" s="139"/>
      <c r="D495" s="138"/>
      <c r="E495" s="138" t="s">
        <v>7</v>
      </c>
      <c r="F495" s="143"/>
      <c r="G495" s="107">
        <f>ROUND(SUM(G492:G494),2)</f>
        <v>16.01</v>
      </c>
    </row>
    <row r="496" spans="1:7" s="121" customFormat="1" ht="30">
      <c r="A496" s="144" t="s">
        <v>221</v>
      </c>
      <c r="B496" s="145" t="s">
        <v>784</v>
      </c>
      <c r="C496" s="145" t="s">
        <v>549</v>
      </c>
      <c r="D496" s="144" t="s">
        <v>1</v>
      </c>
      <c r="E496" s="144">
        <v>191.53</v>
      </c>
      <c r="F496" s="146">
        <f>ROUND(F497,2)-0.01</f>
        <v>17.139999999999997</v>
      </c>
      <c r="G496" s="28">
        <f>ROUND((E496*F496),2)</f>
        <v>3282.82</v>
      </c>
    </row>
    <row r="497" spans="1:7" s="121" customFormat="1" ht="30">
      <c r="A497" s="133"/>
      <c r="B497" s="134" t="s">
        <v>784</v>
      </c>
      <c r="C497" s="135" t="s">
        <v>785</v>
      </c>
      <c r="D497" s="134" t="s">
        <v>1</v>
      </c>
      <c r="E497" s="134">
        <v>1</v>
      </c>
      <c r="F497" s="136">
        <f>G502</f>
        <v>17.15</v>
      </c>
      <c r="G497" s="60">
        <f>ROUND(E497*F497,2)</f>
        <v>17.15</v>
      </c>
    </row>
    <row r="498" spans="1:7" s="121" customFormat="1" ht="30">
      <c r="A498" s="137"/>
      <c r="B498" s="138" t="s">
        <v>597</v>
      </c>
      <c r="C498" s="139" t="s">
        <v>598</v>
      </c>
      <c r="D498" s="138" t="s">
        <v>6</v>
      </c>
      <c r="E498" s="138">
        <v>1.09901</v>
      </c>
      <c r="F498" s="143">
        <v>12.54</v>
      </c>
      <c r="G498" s="107">
        <f>ROUND(E498*F498,2)</f>
        <v>13.78</v>
      </c>
    </row>
    <row r="499" spans="1:7" s="121" customFormat="1" ht="30">
      <c r="A499" s="137"/>
      <c r="B499" s="138" t="s">
        <v>786</v>
      </c>
      <c r="C499" s="139" t="s">
        <v>787</v>
      </c>
      <c r="D499" s="138" t="s">
        <v>6</v>
      </c>
      <c r="E499" s="138">
        <v>0.13699</v>
      </c>
      <c r="F499" s="143">
        <v>19.45</v>
      </c>
      <c r="G499" s="107">
        <f>ROUND(E499*F499,2)</f>
        <v>2.66</v>
      </c>
    </row>
    <row r="500" spans="1:7" s="121" customFormat="1" ht="15.75">
      <c r="A500" s="137"/>
      <c r="B500" s="138" t="s">
        <v>788</v>
      </c>
      <c r="C500" s="139" t="s">
        <v>789</v>
      </c>
      <c r="D500" s="138" t="s">
        <v>6</v>
      </c>
      <c r="E500" s="138">
        <v>0.033</v>
      </c>
      <c r="F500" s="143">
        <v>1.3478</v>
      </c>
      <c r="G500" s="107">
        <f>ROUND(E500*F500,2)</f>
        <v>0.04</v>
      </c>
    </row>
    <row r="501" spans="1:7" s="121" customFormat="1" ht="15.75">
      <c r="A501" s="137"/>
      <c r="B501" s="138" t="s">
        <v>790</v>
      </c>
      <c r="C501" s="139" t="s">
        <v>791</v>
      </c>
      <c r="D501" s="138" t="s">
        <v>6</v>
      </c>
      <c r="E501" s="138">
        <v>0.1</v>
      </c>
      <c r="F501" s="143">
        <v>6.689</v>
      </c>
      <c r="G501" s="107">
        <f>ROUND(E501*F501,2)</f>
        <v>0.67</v>
      </c>
    </row>
    <row r="502" spans="1:7" s="121" customFormat="1" ht="15.75">
      <c r="A502" s="137"/>
      <c r="B502" s="138"/>
      <c r="C502" s="139"/>
      <c r="D502" s="138"/>
      <c r="E502" s="138" t="s">
        <v>7</v>
      </c>
      <c r="F502" s="143"/>
      <c r="G502" s="107">
        <f>ROUND(SUM(G498:G501),2)</f>
        <v>17.15</v>
      </c>
    </row>
    <row r="503" spans="1:7" s="132" customFormat="1" ht="30">
      <c r="A503" s="144" t="s">
        <v>223</v>
      </c>
      <c r="B503" s="144" t="s">
        <v>1019</v>
      </c>
      <c r="C503" s="145" t="s">
        <v>451</v>
      </c>
      <c r="D503" s="144" t="s">
        <v>1</v>
      </c>
      <c r="E503" s="144">
        <v>56.73</v>
      </c>
      <c r="F503" s="146">
        <f>ROUND(F504,2)-0.02</f>
        <v>4.5200000000000005</v>
      </c>
      <c r="G503" s="28">
        <f>ROUND((E503*F503),2)</f>
        <v>256.42</v>
      </c>
    </row>
    <row r="504" spans="1:7" s="121" customFormat="1" ht="30">
      <c r="A504" s="137"/>
      <c r="B504" s="138" t="s">
        <v>1019</v>
      </c>
      <c r="C504" s="139" t="s">
        <v>451</v>
      </c>
      <c r="D504" s="138" t="s">
        <v>1</v>
      </c>
      <c r="E504" s="138">
        <v>1</v>
      </c>
      <c r="F504" s="143">
        <f>G507</f>
        <v>4.54</v>
      </c>
      <c r="G504" s="107">
        <f>ROUND(E504*F504,2)</f>
        <v>4.54</v>
      </c>
    </row>
    <row r="505" spans="1:7" s="121" customFormat="1" ht="15.75">
      <c r="A505" s="137"/>
      <c r="B505" s="138" t="s">
        <v>119</v>
      </c>
      <c r="C505" s="139" t="s">
        <v>120</v>
      </c>
      <c r="D505" s="138" t="s">
        <v>6</v>
      </c>
      <c r="E505" s="138">
        <v>0.071428</v>
      </c>
      <c r="F505" s="138">
        <f>ROUND(19.32,2)</f>
        <v>19.32</v>
      </c>
      <c r="G505" s="107">
        <f>ROUND(E505*F505,2)</f>
        <v>1.38</v>
      </c>
    </row>
    <row r="506" spans="1:7" s="121" customFormat="1" ht="30">
      <c r="A506" s="137"/>
      <c r="B506" s="138" t="s">
        <v>1358</v>
      </c>
      <c r="C506" s="139" t="s">
        <v>1359</v>
      </c>
      <c r="D506" s="138" t="s">
        <v>143</v>
      </c>
      <c r="E506" s="138">
        <v>0.023809</v>
      </c>
      <c r="F506" s="138">
        <f>ROUND(132.69,2)</f>
        <v>132.69</v>
      </c>
      <c r="G506" s="107">
        <f>ROUND(E506*F506,2)</f>
        <v>3.16</v>
      </c>
    </row>
    <row r="507" spans="1:7" s="121" customFormat="1" ht="15.75">
      <c r="A507" s="137"/>
      <c r="B507" s="138"/>
      <c r="C507" s="139"/>
      <c r="D507" s="138"/>
      <c r="E507" s="138" t="s">
        <v>7</v>
      </c>
      <c r="F507" s="138"/>
      <c r="G507" s="107">
        <f>ROUND(SUM(G505:G506),2)</f>
        <v>4.54</v>
      </c>
    </row>
    <row r="508" spans="1:7" s="132" customFormat="1" ht="45">
      <c r="A508" s="144" t="s">
        <v>224</v>
      </c>
      <c r="B508" s="144" t="s">
        <v>222</v>
      </c>
      <c r="C508" s="145" t="s">
        <v>522</v>
      </c>
      <c r="D508" s="144" t="s">
        <v>1</v>
      </c>
      <c r="E508" s="144">
        <v>70.47</v>
      </c>
      <c r="F508" s="146">
        <f>ROUND(F509,2)-0.02</f>
        <v>51.05</v>
      </c>
      <c r="G508" s="28">
        <f>ROUND((E508*F508),2)</f>
        <v>3597.49</v>
      </c>
    </row>
    <row r="509" spans="1:7" s="121" customFormat="1" ht="60">
      <c r="A509" s="137"/>
      <c r="B509" s="138" t="s">
        <v>792</v>
      </c>
      <c r="C509" s="139" t="s">
        <v>793</v>
      </c>
      <c r="D509" s="138" t="s">
        <v>1</v>
      </c>
      <c r="E509" s="138">
        <v>1</v>
      </c>
      <c r="F509" s="143">
        <f>G516</f>
        <v>51.07</v>
      </c>
      <c r="G509" s="107">
        <f>ROUND(E509*F509,2)</f>
        <v>51.07</v>
      </c>
    </row>
    <row r="510" spans="1:7" s="121" customFormat="1" ht="30">
      <c r="A510" s="137"/>
      <c r="B510" s="138" t="s">
        <v>597</v>
      </c>
      <c r="C510" s="139" t="s">
        <v>598</v>
      </c>
      <c r="D510" s="138" t="s">
        <v>6</v>
      </c>
      <c r="E510" s="138">
        <v>0.0412</v>
      </c>
      <c r="F510" s="143">
        <v>12.54</v>
      </c>
      <c r="G510" s="107">
        <f>ROUND(E510*F510,2)</f>
        <v>0.52</v>
      </c>
    </row>
    <row r="511" spans="1:7" s="121" customFormat="1" ht="15.75">
      <c r="A511" s="137"/>
      <c r="B511" s="138" t="s">
        <v>794</v>
      </c>
      <c r="C511" s="139" t="s">
        <v>795</v>
      </c>
      <c r="D511" s="138" t="s">
        <v>6</v>
      </c>
      <c r="E511" s="138">
        <v>0.02</v>
      </c>
      <c r="F511" s="143">
        <v>140.7452</v>
      </c>
      <c r="G511" s="107">
        <f>ROUND(E511*F511,2)</f>
        <v>2.81</v>
      </c>
    </row>
    <row r="512" spans="1:7" s="121" customFormat="1" ht="15.75">
      <c r="A512" s="137"/>
      <c r="B512" s="138" t="s">
        <v>796</v>
      </c>
      <c r="C512" s="139" t="s">
        <v>797</v>
      </c>
      <c r="D512" s="138" t="s">
        <v>6</v>
      </c>
      <c r="E512" s="138">
        <v>0.002</v>
      </c>
      <c r="F512" s="143">
        <v>85.45</v>
      </c>
      <c r="G512" s="107">
        <f>ROUND(E512*F512,2)</f>
        <v>0.17</v>
      </c>
    </row>
    <row r="513" spans="1:7" s="121" customFormat="1" ht="15.75">
      <c r="A513" s="137"/>
      <c r="B513" s="138" t="s">
        <v>798</v>
      </c>
      <c r="C513" s="139" t="s">
        <v>799</v>
      </c>
      <c r="D513" s="138" t="s">
        <v>6</v>
      </c>
      <c r="E513" s="138">
        <v>0.018</v>
      </c>
      <c r="F513" s="143">
        <v>239.6644</v>
      </c>
      <c r="G513" s="107">
        <f>ROUND(E513*F513,2)</f>
        <v>4.31</v>
      </c>
    </row>
    <row r="514" spans="1:7" s="121" customFormat="1" ht="15.75">
      <c r="A514" s="137"/>
      <c r="B514" s="138" t="s">
        <v>800</v>
      </c>
      <c r="C514" s="139" t="s">
        <v>801</v>
      </c>
      <c r="D514" s="138" t="s">
        <v>6</v>
      </c>
      <c r="E514" s="138">
        <v>0.15</v>
      </c>
      <c r="F514" s="143">
        <v>151.9923</v>
      </c>
      <c r="G514" s="107">
        <f>ROUND(E514*F514,2)</f>
        <v>22.8</v>
      </c>
    </row>
    <row r="515" spans="1:7" s="168" customFormat="1" ht="31.5">
      <c r="A515" s="160"/>
      <c r="B515" s="161" t="s">
        <v>1361</v>
      </c>
      <c r="C515" s="162" t="s">
        <v>1360</v>
      </c>
      <c r="D515" s="161" t="s">
        <v>1</v>
      </c>
      <c r="E515" s="161">
        <v>1.3</v>
      </c>
      <c r="F515" s="161">
        <v>15.74</v>
      </c>
      <c r="G515" s="115">
        <f>ROUND(E515*F515,2)</f>
        <v>20.46</v>
      </c>
    </row>
    <row r="516" spans="1:7" s="121" customFormat="1" ht="15.75">
      <c r="A516" s="137"/>
      <c r="B516" s="138"/>
      <c r="C516" s="139"/>
      <c r="D516" s="138"/>
      <c r="E516" s="138" t="s">
        <v>7</v>
      </c>
      <c r="F516" s="138"/>
      <c r="G516" s="107">
        <f>SUM(G510:G515)</f>
        <v>51.07</v>
      </c>
    </row>
    <row r="517" spans="1:7" s="132" customFormat="1" ht="49.5" customHeight="1">
      <c r="A517" s="144" t="s">
        <v>225</v>
      </c>
      <c r="B517" s="144" t="s">
        <v>802</v>
      </c>
      <c r="C517" s="145" t="s">
        <v>452</v>
      </c>
      <c r="D517" s="144" t="s">
        <v>1</v>
      </c>
      <c r="E517" s="144">
        <v>70.47</v>
      </c>
      <c r="F517" s="146">
        <f>ROUND(F518,2)-0.04</f>
        <v>23.86</v>
      </c>
      <c r="G517" s="28">
        <f>ROUND((E517*F517),2)</f>
        <v>1681.41</v>
      </c>
    </row>
    <row r="518" spans="1:7" s="121" customFormat="1" ht="30">
      <c r="A518" s="137"/>
      <c r="B518" s="138" t="s">
        <v>802</v>
      </c>
      <c r="C518" s="139" t="s">
        <v>803</v>
      </c>
      <c r="D518" s="138" t="s">
        <v>1</v>
      </c>
      <c r="E518" s="138">
        <v>1</v>
      </c>
      <c r="F518" s="143">
        <f>G524</f>
        <v>23.9</v>
      </c>
      <c r="G518" s="107">
        <f>ROUND(E518*F518,2)</f>
        <v>23.9</v>
      </c>
    </row>
    <row r="519" spans="1:7" s="121" customFormat="1" ht="30">
      <c r="A519" s="137"/>
      <c r="B519" s="138" t="s">
        <v>786</v>
      </c>
      <c r="C519" s="139" t="s">
        <v>787</v>
      </c>
      <c r="D519" s="138" t="s">
        <v>6</v>
      </c>
      <c r="E519" s="138">
        <v>0.515</v>
      </c>
      <c r="F519" s="143">
        <v>19.45</v>
      </c>
      <c r="G519" s="107">
        <f>ROUND(E519*F519,2)</f>
        <v>10.02</v>
      </c>
    </row>
    <row r="520" spans="1:7" s="121" customFormat="1" ht="15.75">
      <c r="A520" s="137"/>
      <c r="B520" s="138" t="s">
        <v>804</v>
      </c>
      <c r="C520" s="139" t="s">
        <v>805</v>
      </c>
      <c r="D520" s="138" t="s">
        <v>6</v>
      </c>
      <c r="E520" s="138">
        <v>0.09</v>
      </c>
      <c r="F520" s="143">
        <v>13.7124</v>
      </c>
      <c r="G520" s="107">
        <f>ROUND(E520*F520,2)</f>
        <v>1.23</v>
      </c>
    </row>
    <row r="521" spans="1:7" s="121" customFormat="1" ht="15.75">
      <c r="A521" s="137"/>
      <c r="B521" s="138" t="s">
        <v>806</v>
      </c>
      <c r="C521" s="139" t="s">
        <v>807</v>
      </c>
      <c r="D521" s="138" t="s">
        <v>6</v>
      </c>
      <c r="E521" s="138">
        <v>0.16</v>
      </c>
      <c r="F521" s="143">
        <v>63.7905</v>
      </c>
      <c r="G521" s="107">
        <f>ROUND(E521*F521,2)</f>
        <v>10.21</v>
      </c>
    </row>
    <row r="522" spans="1:7" s="121" customFormat="1" ht="15.75">
      <c r="A522" s="137"/>
      <c r="B522" s="138" t="s">
        <v>808</v>
      </c>
      <c r="C522" s="139" t="s">
        <v>809</v>
      </c>
      <c r="D522" s="138" t="s">
        <v>6</v>
      </c>
      <c r="E522" s="138">
        <v>0.2</v>
      </c>
      <c r="F522" s="143">
        <v>3.9264</v>
      </c>
      <c r="G522" s="107">
        <f>ROUND(E522*F522,2)</f>
        <v>0.79</v>
      </c>
    </row>
    <row r="523" spans="1:7" s="121" customFormat="1" ht="15.75">
      <c r="A523" s="137"/>
      <c r="B523" s="138" t="s">
        <v>810</v>
      </c>
      <c r="C523" s="139" t="s">
        <v>811</v>
      </c>
      <c r="D523" s="138" t="s">
        <v>6</v>
      </c>
      <c r="E523" s="138">
        <v>0.3</v>
      </c>
      <c r="F523" s="143">
        <v>5.4974</v>
      </c>
      <c r="G523" s="107">
        <f>ROUND(E523*F523,2)</f>
        <v>1.65</v>
      </c>
    </row>
    <row r="524" spans="1:7" s="121" customFormat="1" ht="15.75">
      <c r="A524" s="137"/>
      <c r="B524" s="138"/>
      <c r="C524" s="139"/>
      <c r="D524" s="138"/>
      <c r="E524" s="138" t="s">
        <v>7</v>
      </c>
      <c r="F524" s="143"/>
      <c r="G524" s="107">
        <f>ROUND(SUM(G519:G523),2)</f>
        <v>23.9</v>
      </c>
    </row>
    <row r="525" spans="1:7" s="132" customFormat="1" ht="15.75">
      <c r="A525" s="144" t="s">
        <v>228</v>
      </c>
      <c r="B525" s="144" t="s">
        <v>1020</v>
      </c>
      <c r="C525" s="145" t="s">
        <v>453</v>
      </c>
      <c r="D525" s="144" t="s">
        <v>0</v>
      </c>
      <c r="E525" s="144">
        <v>153.99</v>
      </c>
      <c r="F525" s="146">
        <f>ROUND(F526,2)-0.01</f>
        <v>10.35</v>
      </c>
      <c r="G525" s="28">
        <f>ROUND((E525*F525),2)</f>
        <v>1593.8</v>
      </c>
    </row>
    <row r="526" spans="1:7" s="167" customFormat="1" ht="15.75">
      <c r="A526" s="137"/>
      <c r="B526" s="138" t="s">
        <v>1020</v>
      </c>
      <c r="C526" s="139" t="s">
        <v>453</v>
      </c>
      <c r="D526" s="138" t="s">
        <v>0</v>
      </c>
      <c r="E526" s="138">
        <v>1</v>
      </c>
      <c r="F526" s="143">
        <f>G529</f>
        <v>10.36</v>
      </c>
      <c r="G526" s="107">
        <f>ROUND(E526*F526,2)</f>
        <v>10.36</v>
      </c>
    </row>
    <row r="527" spans="1:7" s="167" customFormat="1" ht="30">
      <c r="A527" s="137"/>
      <c r="B527" s="138" t="s">
        <v>1362</v>
      </c>
      <c r="C527" s="139" t="s">
        <v>1363</v>
      </c>
      <c r="D527" s="138" t="s">
        <v>18</v>
      </c>
      <c r="E527" s="138">
        <v>0.4</v>
      </c>
      <c r="F527" s="143">
        <v>6.58</v>
      </c>
      <c r="G527" s="107">
        <f>ROUND(E527*F527,2)</f>
        <v>2.63</v>
      </c>
    </row>
    <row r="528" spans="1:7" s="167" customFormat="1" ht="15.75">
      <c r="A528" s="137"/>
      <c r="B528" s="138" t="s">
        <v>119</v>
      </c>
      <c r="C528" s="139" t="s">
        <v>120</v>
      </c>
      <c r="D528" s="138" t="s">
        <v>6</v>
      </c>
      <c r="E528" s="138">
        <v>0.4</v>
      </c>
      <c r="F528" s="143">
        <f>ROUND(19.32,2)</f>
        <v>19.32</v>
      </c>
      <c r="G528" s="107">
        <f>ROUND(E528*F528,2)</f>
        <v>7.73</v>
      </c>
    </row>
    <row r="529" spans="1:7" s="167" customFormat="1" ht="15.75">
      <c r="A529" s="137"/>
      <c r="B529" s="138"/>
      <c r="C529" s="139"/>
      <c r="D529" s="138"/>
      <c r="E529" s="138" t="s">
        <v>7</v>
      </c>
      <c r="F529" s="143"/>
      <c r="G529" s="107">
        <f>ROUND(SUM(G527:G528),2)</f>
        <v>10.36</v>
      </c>
    </row>
    <row r="530" spans="1:7" s="132" customFormat="1" ht="45.75">
      <c r="A530" s="144" t="s">
        <v>229</v>
      </c>
      <c r="B530" s="144" t="s">
        <v>812</v>
      </c>
      <c r="C530" s="145" t="s">
        <v>523</v>
      </c>
      <c r="D530" s="144" t="s">
        <v>0</v>
      </c>
      <c r="E530" s="144">
        <v>90.59</v>
      </c>
      <c r="F530" s="146">
        <f>ROUND(F531,2)-0.02</f>
        <v>55.63999999999999</v>
      </c>
      <c r="G530" s="28">
        <f>ROUND((E530*F530),2)</f>
        <v>5040.43</v>
      </c>
    </row>
    <row r="531" spans="1:7" s="167" customFormat="1" ht="60">
      <c r="A531" s="137"/>
      <c r="B531" s="138" t="s">
        <v>812</v>
      </c>
      <c r="C531" s="139" t="s">
        <v>813</v>
      </c>
      <c r="D531" s="138" t="s">
        <v>0</v>
      </c>
      <c r="E531" s="138">
        <v>1</v>
      </c>
      <c r="F531" s="143">
        <f>G535</f>
        <v>55.66</v>
      </c>
      <c r="G531" s="107">
        <f>ROUND(E531*F531,2)</f>
        <v>55.66</v>
      </c>
    </row>
    <row r="532" spans="1:7" s="167" customFormat="1" ht="30">
      <c r="A532" s="137"/>
      <c r="B532" s="138" t="s">
        <v>226</v>
      </c>
      <c r="C532" s="139" t="s">
        <v>814</v>
      </c>
      <c r="D532" s="138" t="s">
        <v>0</v>
      </c>
      <c r="E532" s="138">
        <v>1.08</v>
      </c>
      <c r="F532" s="143">
        <v>33.63</v>
      </c>
      <c r="G532" s="107">
        <f>ROUND(E532*F532,2)</f>
        <v>36.32</v>
      </c>
    </row>
    <row r="533" spans="1:7" s="167" customFormat="1" ht="15.75">
      <c r="A533" s="137"/>
      <c r="B533" s="138" t="s">
        <v>227</v>
      </c>
      <c r="C533" s="139" t="s">
        <v>606</v>
      </c>
      <c r="D533" s="138" t="s">
        <v>14</v>
      </c>
      <c r="E533" s="138">
        <v>0.0875</v>
      </c>
      <c r="F533" s="143">
        <v>43.83</v>
      </c>
      <c r="G533" s="107">
        <f>ROUND(E533*F533,2)</f>
        <v>3.84</v>
      </c>
    </row>
    <row r="534" spans="1:7" s="167" customFormat="1" ht="30">
      <c r="A534" s="137"/>
      <c r="B534" s="138" t="s">
        <v>597</v>
      </c>
      <c r="C534" s="139" t="s">
        <v>598</v>
      </c>
      <c r="D534" s="138" t="s">
        <v>6</v>
      </c>
      <c r="E534" s="138">
        <v>1.236</v>
      </c>
      <c r="F534" s="143">
        <v>12.54</v>
      </c>
      <c r="G534" s="107">
        <f>ROUND(E534*F534,2)</f>
        <v>15.5</v>
      </c>
    </row>
    <row r="535" spans="1:7" s="167" customFormat="1" ht="15.75">
      <c r="A535" s="137"/>
      <c r="B535" s="138"/>
      <c r="C535" s="139"/>
      <c r="D535" s="138"/>
      <c r="E535" s="138" t="s">
        <v>7</v>
      </c>
      <c r="F535" s="143"/>
      <c r="G535" s="107">
        <f>ROUND(SUM(G532:G534),2)</f>
        <v>55.66</v>
      </c>
    </row>
    <row r="536" spans="1:7" s="132" customFormat="1" ht="15.75">
      <c r="A536" s="144" t="s">
        <v>230</v>
      </c>
      <c r="B536" s="144" t="s">
        <v>815</v>
      </c>
      <c r="C536" s="145" t="s">
        <v>454</v>
      </c>
      <c r="D536" s="144" t="s">
        <v>1</v>
      </c>
      <c r="E536" s="144">
        <v>17.2</v>
      </c>
      <c r="F536" s="146">
        <f>ROUND(F537,2)-0.01</f>
        <v>116.02</v>
      </c>
      <c r="G536" s="28">
        <f>ROUND((E536*F536),2)</f>
        <v>1995.54</v>
      </c>
    </row>
    <row r="537" spans="1:7" s="167" customFormat="1" ht="30">
      <c r="A537" s="137"/>
      <c r="B537" s="138" t="s">
        <v>815</v>
      </c>
      <c r="C537" s="139" t="s">
        <v>816</v>
      </c>
      <c r="D537" s="138" t="s">
        <v>1</v>
      </c>
      <c r="E537" s="138">
        <v>1</v>
      </c>
      <c r="F537" s="143">
        <f>ROUND(116.028,2)</f>
        <v>116.03</v>
      </c>
      <c r="G537" s="107">
        <f>ROUND(E537*F537,2)</f>
        <v>116.03</v>
      </c>
    </row>
    <row r="538" spans="1:7" s="167" customFormat="1" ht="15.75">
      <c r="A538" s="137"/>
      <c r="B538" s="138" t="s">
        <v>93</v>
      </c>
      <c r="C538" s="139" t="s">
        <v>746</v>
      </c>
      <c r="D538" s="138" t="s">
        <v>94</v>
      </c>
      <c r="E538" s="138">
        <v>1.595</v>
      </c>
      <c r="F538" s="143">
        <v>50.26</v>
      </c>
      <c r="G538" s="107">
        <f>ROUND(E538*F538,2)</f>
        <v>80.16</v>
      </c>
    </row>
    <row r="539" spans="1:7" s="167" customFormat="1" ht="30">
      <c r="A539" s="137"/>
      <c r="B539" s="138" t="s">
        <v>597</v>
      </c>
      <c r="C539" s="139" t="s">
        <v>598</v>
      </c>
      <c r="D539" s="138" t="s">
        <v>6</v>
      </c>
      <c r="E539" s="138">
        <v>2.575</v>
      </c>
      <c r="F539" s="143">
        <v>12.54</v>
      </c>
      <c r="G539" s="107">
        <f>ROUND(E539*F539,2)</f>
        <v>32.29</v>
      </c>
    </row>
    <row r="540" spans="1:7" s="167" customFormat="1" ht="15.75">
      <c r="A540" s="137"/>
      <c r="B540" s="138"/>
      <c r="C540" s="139"/>
      <c r="D540" s="138"/>
      <c r="E540" s="138" t="s">
        <v>7</v>
      </c>
      <c r="F540" s="143"/>
      <c r="G540" s="107">
        <f>ROUND(SUM(G538:G539),2)</f>
        <v>112.45</v>
      </c>
    </row>
    <row r="541" spans="1:7" s="132" customFormat="1" ht="15.75">
      <c r="A541" s="144" t="s">
        <v>231</v>
      </c>
      <c r="B541" s="144" t="s">
        <v>1021</v>
      </c>
      <c r="C541" s="145" t="s">
        <v>524</v>
      </c>
      <c r="D541" s="144" t="s">
        <v>3</v>
      </c>
      <c r="E541" s="144">
        <v>16.09</v>
      </c>
      <c r="F541" s="146">
        <f>ROUND(F542,2)-0.01</f>
        <v>49.84</v>
      </c>
      <c r="G541" s="28">
        <f>ROUND((E541*F541),2)</f>
        <v>801.93</v>
      </c>
    </row>
    <row r="542" spans="1:7" s="167" customFormat="1" ht="30">
      <c r="A542" s="137"/>
      <c r="B542" s="138" t="s">
        <v>1364</v>
      </c>
      <c r="C542" s="139" t="s">
        <v>1365</v>
      </c>
      <c r="D542" s="138" t="s">
        <v>3</v>
      </c>
      <c r="E542" s="138">
        <v>1</v>
      </c>
      <c r="F542" s="143">
        <f>G546</f>
        <v>49.85</v>
      </c>
      <c r="G542" s="107">
        <f>ROUND(E542*F542,2)</f>
        <v>49.85</v>
      </c>
    </row>
    <row r="543" spans="1:7" s="167" customFormat="1" ht="30">
      <c r="A543" s="137"/>
      <c r="B543" s="138" t="s">
        <v>1366</v>
      </c>
      <c r="C543" s="139" t="s">
        <v>1367</v>
      </c>
      <c r="D543" s="138" t="s">
        <v>3</v>
      </c>
      <c r="E543" s="138">
        <v>1</v>
      </c>
      <c r="F543" s="143">
        <f>ROUND(29.59,2)</f>
        <v>29.59</v>
      </c>
      <c r="G543" s="107">
        <f>ROUND(E543*F543,2)</f>
        <v>29.59</v>
      </c>
    </row>
    <row r="544" spans="1:7" s="167" customFormat="1" ht="15.75">
      <c r="A544" s="137"/>
      <c r="B544" s="138" t="s">
        <v>119</v>
      </c>
      <c r="C544" s="139" t="s">
        <v>120</v>
      </c>
      <c r="D544" s="138" t="s">
        <v>6</v>
      </c>
      <c r="E544" s="138">
        <v>0.8</v>
      </c>
      <c r="F544" s="143">
        <f>ROUND(19.32,2)</f>
        <v>19.32</v>
      </c>
      <c r="G544" s="107">
        <f>ROUND(E544*F544,2)</f>
        <v>15.46</v>
      </c>
    </row>
    <row r="545" spans="1:7" s="167" customFormat="1" ht="15.75">
      <c r="A545" s="137"/>
      <c r="B545" s="138" t="s">
        <v>1159</v>
      </c>
      <c r="C545" s="139" t="s">
        <v>1155</v>
      </c>
      <c r="D545" s="138" t="s">
        <v>6</v>
      </c>
      <c r="E545" s="138">
        <v>0.2</v>
      </c>
      <c r="F545" s="143">
        <f>ROUND(24.02,2)</f>
        <v>24.02</v>
      </c>
      <c r="G545" s="107">
        <f>ROUND(E545*F545,2)</f>
        <v>4.8</v>
      </c>
    </row>
    <row r="546" spans="1:7" s="167" customFormat="1" ht="15.75">
      <c r="A546" s="137"/>
      <c r="B546" s="138"/>
      <c r="C546" s="139"/>
      <c r="D546" s="138"/>
      <c r="E546" s="138" t="s">
        <v>7</v>
      </c>
      <c r="F546" s="143"/>
      <c r="G546" s="107">
        <f>ROUND(SUM(G543:G545),2)</f>
        <v>49.85</v>
      </c>
    </row>
    <row r="547" spans="1:7" s="132" customFormat="1" ht="15.75">
      <c r="A547" s="144" t="s">
        <v>233</v>
      </c>
      <c r="B547" s="144" t="s">
        <v>1022</v>
      </c>
      <c r="C547" s="145" t="s">
        <v>525</v>
      </c>
      <c r="D547" s="144" t="s">
        <v>3</v>
      </c>
      <c r="E547" s="144">
        <v>9.05</v>
      </c>
      <c r="F547" s="146">
        <f>ROUND(F548,2)-0.02</f>
        <v>18.3</v>
      </c>
      <c r="G547" s="28">
        <f>ROUND((E547*F547),2)</f>
        <v>165.62</v>
      </c>
    </row>
    <row r="548" spans="1:7" s="167" customFormat="1" ht="30">
      <c r="A548" s="137"/>
      <c r="B548" s="138" t="s">
        <v>1368</v>
      </c>
      <c r="C548" s="139" t="s">
        <v>1369</v>
      </c>
      <c r="D548" s="138" t="s">
        <v>3</v>
      </c>
      <c r="E548" s="138">
        <v>1</v>
      </c>
      <c r="F548" s="143">
        <f>G552</f>
        <v>18.32</v>
      </c>
      <c r="G548" s="107">
        <f>ROUND(E548*F548,2)</f>
        <v>18.32</v>
      </c>
    </row>
    <row r="549" spans="1:7" s="167" customFormat="1" ht="15.75">
      <c r="A549" s="137"/>
      <c r="B549" s="138" t="s">
        <v>1370</v>
      </c>
      <c r="C549" s="139" t="s">
        <v>1371</v>
      </c>
      <c r="D549" s="138" t="s">
        <v>3</v>
      </c>
      <c r="E549" s="138">
        <v>1.05</v>
      </c>
      <c r="F549" s="143">
        <f>ROUND(8.11,2)</f>
        <v>8.11</v>
      </c>
      <c r="G549" s="107">
        <f>ROUND(E549*F549,2)</f>
        <v>8.52</v>
      </c>
    </row>
    <row r="550" spans="1:7" s="167" customFormat="1" ht="15.75">
      <c r="A550" s="137"/>
      <c r="B550" s="138" t="s">
        <v>282</v>
      </c>
      <c r="C550" s="139" t="s">
        <v>1372</v>
      </c>
      <c r="D550" s="138" t="s">
        <v>1</v>
      </c>
      <c r="E550" s="138">
        <v>0.0022</v>
      </c>
      <c r="F550" s="143">
        <f>ROUND(62.5,2)</f>
        <v>62.5</v>
      </c>
      <c r="G550" s="107">
        <f>ROUND(E550*F550,2)</f>
        <v>0.14</v>
      </c>
    </row>
    <row r="551" spans="1:7" s="167" customFormat="1" ht="15.75">
      <c r="A551" s="137"/>
      <c r="B551" s="138" t="s">
        <v>119</v>
      </c>
      <c r="C551" s="139" t="s">
        <v>120</v>
      </c>
      <c r="D551" s="138" t="s">
        <v>6</v>
      </c>
      <c r="E551" s="138">
        <v>0.5</v>
      </c>
      <c r="F551" s="143">
        <f>ROUND(19.32,2)</f>
        <v>19.32</v>
      </c>
      <c r="G551" s="107">
        <f>ROUND(E551*F551,2)</f>
        <v>9.66</v>
      </c>
    </row>
    <row r="552" spans="1:7" s="167" customFormat="1" ht="15.75">
      <c r="A552" s="137"/>
      <c r="B552" s="138"/>
      <c r="C552" s="139"/>
      <c r="D552" s="138"/>
      <c r="E552" s="138" t="s">
        <v>7</v>
      </c>
      <c r="F552" s="143"/>
      <c r="G552" s="107">
        <f>ROUND(SUM(G549:G551),2)</f>
        <v>18.32</v>
      </c>
    </row>
    <row r="553" spans="1:7" s="132" customFormat="1" ht="30.75">
      <c r="A553" s="144" t="s">
        <v>234</v>
      </c>
      <c r="B553" s="144" t="s">
        <v>817</v>
      </c>
      <c r="C553" s="145" t="s">
        <v>526</v>
      </c>
      <c r="D553" s="144" t="s">
        <v>3</v>
      </c>
      <c r="E553" s="144">
        <v>15.5</v>
      </c>
      <c r="F553" s="146">
        <f>ROUND(F554,2)-0.03</f>
        <v>38.879999999999995</v>
      </c>
      <c r="G553" s="28">
        <f>ROUND((E553*F553),2)</f>
        <v>602.64</v>
      </c>
    </row>
    <row r="554" spans="1:7" s="167" customFormat="1" ht="45">
      <c r="A554" s="137"/>
      <c r="B554" s="138" t="s">
        <v>817</v>
      </c>
      <c r="C554" s="139" t="s">
        <v>818</v>
      </c>
      <c r="D554" s="138" t="s">
        <v>3</v>
      </c>
      <c r="E554" s="138">
        <v>1</v>
      </c>
      <c r="F554" s="143">
        <f>G560</f>
        <v>38.91</v>
      </c>
      <c r="G554" s="107">
        <f>ROUND(E554*F554,2)</f>
        <v>38.91</v>
      </c>
    </row>
    <row r="555" spans="1:7" s="167" customFormat="1" ht="30">
      <c r="A555" s="137"/>
      <c r="B555" s="138" t="s">
        <v>232</v>
      </c>
      <c r="C555" s="139" t="s">
        <v>819</v>
      </c>
      <c r="D555" s="138" t="s">
        <v>3</v>
      </c>
      <c r="E555" s="138">
        <v>1</v>
      </c>
      <c r="F555" s="143">
        <v>22.03</v>
      </c>
      <c r="G555" s="107">
        <f>ROUND(E555*F555,2)</f>
        <v>22.03</v>
      </c>
    </row>
    <row r="556" spans="1:7" s="167" customFormat="1" ht="30">
      <c r="A556" s="137"/>
      <c r="B556" s="138" t="s">
        <v>820</v>
      </c>
      <c r="C556" s="139" t="s">
        <v>821</v>
      </c>
      <c r="D556" s="138" t="s">
        <v>6</v>
      </c>
      <c r="E556" s="138">
        <v>0.0824</v>
      </c>
      <c r="F556" s="143">
        <v>18.63</v>
      </c>
      <c r="G556" s="107">
        <f>ROUND(E556*F556,2)</f>
        <v>1.54</v>
      </c>
    </row>
    <row r="557" spans="1:7" s="167" customFormat="1" ht="30">
      <c r="A557" s="137"/>
      <c r="B557" s="138" t="s">
        <v>597</v>
      </c>
      <c r="C557" s="139" t="s">
        <v>598</v>
      </c>
      <c r="D557" s="138" t="s">
        <v>6</v>
      </c>
      <c r="E557" s="138">
        <v>0.41200000000000003</v>
      </c>
      <c r="F557" s="143">
        <v>12.54</v>
      </c>
      <c r="G557" s="107">
        <f>ROUND(E557*F557,2)</f>
        <v>5.17</v>
      </c>
    </row>
    <row r="558" spans="1:7" s="167" customFormat="1" ht="15.75">
      <c r="A558" s="137"/>
      <c r="B558" s="138" t="s">
        <v>692</v>
      </c>
      <c r="C558" s="139" t="s">
        <v>693</v>
      </c>
      <c r="D558" s="138" t="s">
        <v>6</v>
      </c>
      <c r="E558" s="138">
        <v>0.41200000000000003</v>
      </c>
      <c r="F558" s="143">
        <v>17.3</v>
      </c>
      <c r="G558" s="107">
        <f>ROUND(E558*F558,2)</f>
        <v>7.13</v>
      </c>
    </row>
    <row r="559" spans="1:7" s="167" customFormat="1" ht="15.75">
      <c r="A559" s="137"/>
      <c r="B559" s="138" t="s">
        <v>822</v>
      </c>
      <c r="C559" s="139" t="s">
        <v>823</v>
      </c>
      <c r="D559" s="138" t="s">
        <v>1</v>
      </c>
      <c r="E559" s="138">
        <v>0.012</v>
      </c>
      <c r="F559" s="143">
        <v>253.5163</v>
      </c>
      <c r="G559" s="107">
        <f>ROUND(E559*F559,2)</f>
        <v>3.04</v>
      </c>
    </row>
    <row r="560" spans="1:7" s="167" customFormat="1" ht="15.75">
      <c r="A560" s="137"/>
      <c r="B560" s="138"/>
      <c r="C560" s="139"/>
      <c r="D560" s="138"/>
      <c r="E560" s="138" t="s">
        <v>7</v>
      </c>
      <c r="F560" s="143"/>
      <c r="G560" s="107">
        <f>ROUND(SUM(G555:G559),2)</f>
        <v>38.91</v>
      </c>
    </row>
    <row r="561" spans="1:7" s="132" customFormat="1" ht="30">
      <c r="A561" s="144" t="s">
        <v>237</v>
      </c>
      <c r="B561" s="144" t="s">
        <v>725</v>
      </c>
      <c r="C561" s="145" t="s">
        <v>527</v>
      </c>
      <c r="D561" s="144" t="s">
        <v>1</v>
      </c>
      <c r="E561" s="144">
        <v>0.13</v>
      </c>
      <c r="F561" s="146">
        <f>ROUND(F562,2)</f>
        <v>407.62</v>
      </c>
      <c r="G561" s="28">
        <f>ROUND((E561*F561),2)</f>
        <v>52.99</v>
      </c>
    </row>
    <row r="562" spans="1:7" s="167" customFormat="1" ht="45">
      <c r="A562" s="137"/>
      <c r="B562" s="138" t="s">
        <v>725</v>
      </c>
      <c r="C562" s="139" t="s">
        <v>726</v>
      </c>
      <c r="D562" s="138" t="s">
        <v>1</v>
      </c>
      <c r="E562" s="138">
        <v>1</v>
      </c>
      <c r="F562" s="143">
        <f>G566</f>
        <v>407.62</v>
      </c>
      <c r="G562" s="107">
        <f>ROUND(E562*F562,2)</f>
        <v>407.62</v>
      </c>
    </row>
    <row r="563" spans="1:7" s="167" customFormat="1" ht="15.75">
      <c r="A563" s="137"/>
      <c r="B563" s="138" t="s">
        <v>727</v>
      </c>
      <c r="C563" s="139" t="s">
        <v>728</v>
      </c>
      <c r="D563" s="138" t="s">
        <v>1</v>
      </c>
      <c r="E563" s="138">
        <v>1</v>
      </c>
      <c r="F563" s="143">
        <v>90.0417</v>
      </c>
      <c r="G563" s="107">
        <f>ROUND(E563*F563,2)</f>
        <v>90.04</v>
      </c>
    </row>
    <row r="564" spans="1:7" s="167" customFormat="1" ht="15.75">
      <c r="A564" s="137"/>
      <c r="B564" s="138" t="s">
        <v>681</v>
      </c>
      <c r="C564" s="139" t="s">
        <v>682</v>
      </c>
      <c r="D564" s="138" t="s">
        <v>1</v>
      </c>
      <c r="E564" s="138">
        <v>1</v>
      </c>
      <c r="F564" s="143">
        <v>62.4331</v>
      </c>
      <c r="G564" s="107">
        <f>ROUND(E564*F564,2)</f>
        <v>62.43</v>
      </c>
    </row>
    <row r="565" spans="1:7" s="167" customFormat="1" ht="15.75">
      <c r="A565" s="137"/>
      <c r="B565" s="138" t="s">
        <v>729</v>
      </c>
      <c r="C565" s="139" t="s">
        <v>730</v>
      </c>
      <c r="D565" s="138" t="s">
        <v>1</v>
      </c>
      <c r="E565" s="138">
        <v>1</v>
      </c>
      <c r="F565" s="143">
        <v>255.1534</v>
      </c>
      <c r="G565" s="107">
        <f>ROUND(E565*F565,2)</f>
        <v>255.15</v>
      </c>
    </row>
    <row r="566" spans="1:7" s="167" customFormat="1" ht="15.75">
      <c r="A566" s="137"/>
      <c r="B566" s="138"/>
      <c r="C566" s="139"/>
      <c r="D566" s="138"/>
      <c r="E566" s="138" t="s">
        <v>7</v>
      </c>
      <c r="F566" s="143"/>
      <c r="G566" s="107">
        <f>ROUND(SUM(G563:G565),2)</f>
        <v>407.62</v>
      </c>
    </row>
    <row r="567" spans="1:7" s="132" customFormat="1" ht="45.75">
      <c r="A567" s="144" t="s">
        <v>241</v>
      </c>
      <c r="B567" s="144" t="s">
        <v>824</v>
      </c>
      <c r="C567" s="145" t="s">
        <v>582</v>
      </c>
      <c r="D567" s="144" t="s">
        <v>0</v>
      </c>
      <c r="E567" s="144">
        <v>245.7</v>
      </c>
      <c r="F567" s="146">
        <f>ROUND(F568,2)-0.05</f>
        <v>53</v>
      </c>
      <c r="G567" s="28">
        <f>ROUND((E567*F567),2)</f>
        <v>13022.1</v>
      </c>
    </row>
    <row r="568" spans="1:7" s="167" customFormat="1" ht="60">
      <c r="A568" s="137"/>
      <c r="B568" s="138" t="s">
        <v>824</v>
      </c>
      <c r="C568" s="139" t="s">
        <v>825</v>
      </c>
      <c r="D568" s="138" t="s">
        <v>0</v>
      </c>
      <c r="E568" s="138">
        <v>1</v>
      </c>
      <c r="F568" s="143">
        <f>G575</f>
        <v>53.05</v>
      </c>
      <c r="G568" s="107">
        <f>ROUND(E568*F568,2)</f>
        <v>53.05</v>
      </c>
    </row>
    <row r="569" spans="1:7" s="167" customFormat="1" ht="30">
      <c r="A569" s="137"/>
      <c r="B569" s="138" t="s">
        <v>235</v>
      </c>
      <c r="C569" s="139" t="s">
        <v>826</v>
      </c>
      <c r="D569" s="138" t="s">
        <v>0</v>
      </c>
      <c r="E569" s="138">
        <v>1.12</v>
      </c>
      <c r="F569" s="143">
        <v>22.57</v>
      </c>
      <c r="G569" s="107">
        <f>ROUND(E569*F569,2)</f>
        <v>25.28</v>
      </c>
    </row>
    <row r="570" spans="1:7" s="167" customFormat="1" ht="15.75">
      <c r="A570" s="137"/>
      <c r="B570" s="138" t="s">
        <v>236</v>
      </c>
      <c r="C570" s="139" t="s">
        <v>827</v>
      </c>
      <c r="D570" s="138" t="s">
        <v>5</v>
      </c>
      <c r="E570" s="138">
        <v>0.83</v>
      </c>
      <c r="F570" s="143">
        <v>4.9114</v>
      </c>
      <c r="G570" s="107">
        <f>ROUND(E570*F570,2)</f>
        <v>4.08</v>
      </c>
    </row>
    <row r="571" spans="1:7" s="167" customFormat="1" ht="30">
      <c r="A571" s="137"/>
      <c r="B571" s="138" t="s">
        <v>597</v>
      </c>
      <c r="C571" s="139" t="s">
        <v>598</v>
      </c>
      <c r="D571" s="138" t="s">
        <v>6</v>
      </c>
      <c r="E571" s="138">
        <v>1.236</v>
      </c>
      <c r="F571" s="143">
        <v>12.54</v>
      </c>
      <c r="G571" s="107">
        <f>ROUND(E571*F571,2)</f>
        <v>15.5</v>
      </c>
    </row>
    <row r="572" spans="1:7" s="167" customFormat="1" ht="30">
      <c r="A572" s="137"/>
      <c r="B572" s="138" t="s">
        <v>757</v>
      </c>
      <c r="C572" s="139" t="s">
        <v>758</v>
      </c>
      <c r="D572" s="138" t="s">
        <v>6</v>
      </c>
      <c r="E572" s="138">
        <v>0.20600000000000002</v>
      </c>
      <c r="F572" s="143">
        <v>17.3</v>
      </c>
      <c r="G572" s="107">
        <f>ROUND(E572*F572,2)</f>
        <v>3.56</v>
      </c>
    </row>
    <row r="573" spans="1:7" s="167" customFormat="1" ht="15.75">
      <c r="A573" s="137"/>
      <c r="B573" s="138" t="s">
        <v>828</v>
      </c>
      <c r="C573" s="139" t="s">
        <v>829</v>
      </c>
      <c r="D573" s="138" t="s">
        <v>6</v>
      </c>
      <c r="E573" s="138">
        <v>0.02</v>
      </c>
      <c r="F573" s="143">
        <v>42.7727</v>
      </c>
      <c r="G573" s="107">
        <f>ROUND(E573*F573,2)</f>
        <v>0.86</v>
      </c>
    </row>
    <row r="574" spans="1:7" s="167" customFormat="1" ht="15.75">
      <c r="A574" s="137"/>
      <c r="B574" s="138" t="s">
        <v>830</v>
      </c>
      <c r="C574" s="139" t="s">
        <v>831</v>
      </c>
      <c r="D574" s="138" t="s">
        <v>6</v>
      </c>
      <c r="E574" s="138">
        <v>0.03</v>
      </c>
      <c r="F574" s="143">
        <v>125.5793</v>
      </c>
      <c r="G574" s="107">
        <f>ROUND(E574*F574,2)</f>
        <v>3.77</v>
      </c>
    </row>
    <row r="575" spans="1:7" s="167" customFormat="1" ht="15.75">
      <c r="A575" s="137"/>
      <c r="B575" s="138"/>
      <c r="C575" s="139"/>
      <c r="D575" s="138"/>
      <c r="E575" s="138" t="s">
        <v>7</v>
      </c>
      <c r="F575" s="143"/>
      <c r="G575" s="107">
        <f>ROUND(SUM(G569:G574),2)</f>
        <v>53.05</v>
      </c>
    </row>
    <row r="576" spans="1:8" s="132" customFormat="1" ht="45">
      <c r="A576" s="144" t="s">
        <v>242</v>
      </c>
      <c r="B576" s="144" t="str">
        <f>B577</f>
        <v>SI000097994</v>
      </c>
      <c r="C576" s="145" t="s">
        <v>581</v>
      </c>
      <c r="D576" s="144" t="s">
        <v>14</v>
      </c>
      <c r="E576" s="279">
        <v>1</v>
      </c>
      <c r="F576" s="146">
        <f>ROUND(F578,2)-0.05</f>
        <v>1619.14</v>
      </c>
      <c r="G576" s="28">
        <f>ROUND((E576*F576),2)</f>
        <v>1619.14</v>
      </c>
      <c r="H576" s="132" t="s">
        <v>580</v>
      </c>
    </row>
    <row r="577" spans="1:7" s="132" customFormat="1" ht="45">
      <c r="A577" s="137"/>
      <c r="B577" s="138" t="s">
        <v>1495</v>
      </c>
      <c r="C577" s="139" t="s">
        <v>579</v>
      </c>
      <c r="D577" s="138" t="s">
        <v>14</v>
      </c>
      <c r="E577" s="138"/>
      <c r="F577" s="143">
        <f>ROUND(2109.961954,2)</f>
        <v>2109.96</v>
      </c>
      <c r="G577" s="107"/>
    </row>
    <row r="578" spans="1:7" s="167" customFormat="1" ht="90">
      <c r="A578" s="137"/>
      <c r="B578" s="138" t="s">
        <v>832</v>
      </c>
      <c r="C578" s="139" t="s">
        <v>833</v>
      </c>
      <c r="D578" s="138" t="s">
        <v>14</v>
      </c>
      <c r="E578" s="138">
        <v>1</v>
      </c>
      <c r="F578" s="467">
        <f>G592</f>
        <v>1619.19</v>
      </c>
      <c r="G578" s="107">
        <f>ROUND(E578*F578,2)</f>
        <v>1619.19</v>
      </c>
    </row>
    <row r="579" spans="1:7" s="167" customFormat="1" ht="15.75">
      <c r="A579" s="137"/>
      <c r="B579" s="138" t="s">
        <v>239</v>
      </c>
      <c r="C579" s="139" t="s">
        <v>834</v>
      </c>
      <c r="D579" s="138" t="s">
        <v>14</v>
      </c>
      <c r="E579" s="138">
        <v>1</v>
      </c>
      <c r="F579" s="143">
        <v>45</v>
      </c>
      <c r="G579" s="107">
        <f>ROUND(E579*F579,2)</f>
        <v>45</v>
      </c>
    </row>
    <row r="580" spans="1:7" s="167" customFormat="1" ht="15.75">
      <c r="A580" s="137"/>
      <c r="B580" s="138" t="s">
        <v>187</v>
      </c>
      <c r="C580" s="139" t="s">
        <v>835</v>
      </c>
      <c r="D580" s="138" t="s">
        <v>5</v>
      </c>
      <c r="E580" s="138">
        <v>14.34</v>
      </c>
      <c r="F580" s="143">
        <v>3.98</v>
      </c>
      <c r="G580" s="107">
        <f>ROUND(E580*F580,2)</f>
        <v>57.07</v>
      </c>
    </row>
    <row r="581" spans="1:7" s="167" customFormat="1" ht="15.75">
      <c r="A581" s="137"/>
      <c r="B581" s="138" t="s">
        <v>240</v>
      </c>
      <c r="C581" s="139" t="s">
        <v>836</v>
      </c>
      <c r="D581" s="138" t="s">
        <v>5</v>
      </c>
      <c r="E581" s="138">
        <v>40.95</v>
      </c>
      <c r="F581" s="143">
        <v>4.02</v>
      </c>
      <c r="G581" s="107">
        <f>ROUND(E581*F581,2)</f>
        <v>164.62</v>
      </c>
    </row>
    <row r="582" spans="1:7" s="167" customFormat="1" ht="15.75">
      <c r="A582" s="137"/>
      <c r="B582" s="138" t="s">
        <v>25</v>
      </c>
      <c r="C582" s="139" t="s">
        <v>734</v>
      </c>
      <c r="D582" s="138" t="s">
        <v>5</v>
      </c>
      <c r="E582" s="138">
        <v>1.66</v>
      </c>
      <c r="F582" s="143">
        <v>6.4</v>
      </c>
      <c r="G582" s="107">
        <f>ROUND(E582*F582,2)</f>
        <v>10.62</v>
      </c>
    </row>
    <row r="583" spans="1:7" s="167" customFormat="1" ht="30">
      <c r="A583" s="137"/>
      <c r="B583" s="138" t="s">
        <v>597</v>
      </c>
      <c r="C583" s="139" t="s">
        <v>598</v>
      </c>
      <c r="D583" s="138" t="s">
        <v>6</v>
      </c>
      <c r="E583" s="138">
        <v>6.4581</v>
      </c>
      <c r="F583" s="143">
        <v>12.54</v>
      </c>
      <c r="G583" s="107">
        <f>ROUND(E583*F583,2)</f>
        <v>80.98</v>
      </c>
    </row>
    <row r="584" spans="1:7" s="167" customFormat="1" ht="15.75">
      <c r="A584" s="137"/>
      <c r="B584" s="138" t="s">
        <v>692</v>
      </c>
      <c r="C584" s="139" t="s">
        <v>693</v>
      </c>
      <c r="D584" s="138" t="s">
        <v>6</v>
      </c>
      <c r="E584" s="138">
        <v>6.4581</v>
      </c>
      <c r="F584" s="143">
        <v>17.3</v>
      </c>
      <c r="G584" s="107">
        <f>ROUND(E584*F584,2)</f>
        <v>111.73</v>
      </c>
    </row>
    <row r="585" spans="1:7" s="167" customFormat="1" ht="30">
      <c r="A585" s="137"/>
      <c r="B585" s="138" t="s">
        <v>757</v>
      </c>
      <c r="C585" s="139" t="s">
        <v>758</v>
      </c>
      <c r="D585" s="138" t="s">
        <v>6</v>
      </c>
      <c r="E585" s="138">
        <v>1.1227</v>
      </c>
      <c r="F585" s="143">
        <v>17.3</v>
      </c>
      <c r="G585" s="107">
        <f>ROUND(E585*F585,2)</f>
        <v>19.42</v>
      </c>
    </row>
    <row r="586" spans="1:7" s="167" customFormat="1" ht="15.75">
      <c r="A586" s="137"/>
      <c r="B586" s="138" t="s">
        <v>837</v>
      </c>
      <c r="C586" s="139" t="s">
        <v>838</v>
      </c>
      <c r="D586" s="138" t="s">
        <v>6</v>
      </c>
      <c r="E586" s="138">
        <v>0.17</v>
      </c>
      <c r="F586" s="143">
        <v>60.9903</v>
      </c>
      <c r="G586" s="107">
        <f>ROUND(E586*F586,2)</f>
        <v>10.37</v>
      </c>
    </row>
    <row r="587" spans="1:7" s="167" customFormat="1" ht="15.75">
      <c r="A587" s="137"/>
      <c r="B587" s="138" t="s">
        <v>794</v>
      </c>
      <c r="C587" s="139" t="s">
        <v>795</v>
      </c>
      <c r="D587" s="138" t="s">
        <v>6</v>
      </c>
      <c r="E587" s="138">
        <v>0.33</v>
      </c>
      <c r="F587" s="143">
        <v>140.7452</v>
      </c>
      <c r="G587" s="107">
        <f>ROUND(E587*F587,2)</f>
        <v>46.45</v>
      </c>
    </row>
    <row r="588" spans="1:7" s="167" customFormat="1" ht="15.75">
      <c r="A588" s="137"/>
      <c r="B588" s="138" t="s">
        <v>839</v>
      </c>
      <c r="C588" s="139" t="s">
        <v>840</v>
      </c>
      <c r="D588" s="138" t="s">
        <v>0</v>
      </c>
      <c r="E588" s="138">
        <v>6.24</v>
      </c>
      <c r="F588" s="143">
        <v>21.0133</v>
      </c>
      <c r="G588" s="107">
        <f>ROUND(E588*F588,2)</f>
        <v>131.12</v>
      </c>
    </row>
    <row r="589" spans="1:7" s="167" customFormat="1" ht="15.75">
      <c r="A589" s="137"/>
      <c r="B589" s="138" t="s">
        <v>841</v>
      </c>
      <c r="C589" s="139" t="s">
        <v>842</v>
      </c>
      <c r="D589" s="138" t="s">
        <v>0</v>
      </c>
      <c r="E589" s="138">
        <v>7.36</v>
      </c>
      <c r="F589" s="143">
        <v>91.7013</v>
      </c>
      <c r="G589" s="107">
        <f>ROUND(E589*F589,2)</f>
        <v>674.92</v>
      </c>
    </row>
    <row r="590" spans="1:7" s="167" customFormat="1" ht="15.75">
      <c r="A590" s="137"/>
      <c r="B590" s="138" t="s">
        <v>843</v>
      </c>
      <c r="C590" s="139" t="s">
        <v>844</v>
      </c>
      <c r="D590" s="138" t="s">
        <v>0</v>
      </c>
      <c r="E590" s="138">
        <v>1.92</v>
      </c>
      <c r="F590" s="143">
        <v>50.2704</v>
      </c>
      <c r="G590" s="107">
        <f>ROUND(E590*F590,2)</f>
        <v>96.52</v>
      </c>
    </row>
    <row r="591" spans="1:7" s="167" customFormat="1" ht="15.75">
      <c r="A591" s="137"/>
      <c r="B591" s="138" t="s">
        <v>677</v>
      </c>
      <c r="C591" s="139" t="s">
        <v>678</v>
      </c>
      <c r="D591" s="138" t="s">
        <v>1</v>
      </c>
      <c r="E591" s="138">
        <v>0.871</v>
      </c>
      <c r="F591" s="143">
        <v>195.6056</v>
      </c>
      <c r="G591" s="107">
        <f>ROUND(E591*F591,2)</f>
        <v>170.37</v>
      </c>
    </row>
    <row r="592" spans="1:7" s="167" customFormat="1" ht="15.75">
      <c r="A592" s="137"/>
      <c r="B592" s="138"/>
      <c r="C592" s="139"/>
      <c r="D592" s="138"/>
      <c r="E592" s="138" t="s">
        <v>7</v>
      </c>
      <c r="F592" s="143"/>
      <c r="G592" s="107">
        <f>ROUND(SUM(G579:G591),2)</f>
        <v>1619.19</v>
      </c>
    </row>
    <row r="593" spans="1:7" s="132" customFormat="1" ht="60.75">
      <c r="A593" s="144" t="s">
        <v>245</v>
      </c>
      <c r="B593" s="144" t="s">
        <v>845</v>
      </c>
      <c r="C593" s="145" t="s">
        <v>550</v>
      </c>
      <c r="D593" s="144" t="s">
        <v>14</v>
      </c>
      <c r="E593" s="144">
        <v>1</v>
      </c>
      <c r="F593" s="146">
        <f>ROUND(F594,2)-0.02</f>
        <v>303.72</v>
      </c>
      <c r="G593" s="28">
        <f>ROUND((E593*F593),2)</f>
        <v>303.72</v>
      </c>
    </row>
    <row r="594" spans="1:7" s="167" customFormat="1" ht="75">
      <c r="A594" s="137"/>
      <c r="B594" s="138" t="s">
        <v>845</v>
      </c>
      <c r="C594" s="139" t="s">
        <v>846</v>
      </c>
      <c r="D594" s="138" t="s">
        <v>14</v>
      </c>
      <c r="E594" s="138">
        <v>1</v>
      </c>
      <c r="F594" s="143">
        <f>G599</f>
        <v>303.74</v>
      </c>
      <c r="G594" s="107">
        <f>ROUND(E594*F594,2)</f>
        <v>303.74</v>
      </c>
    </row>
    <row r="595" spans="1:7" s="167" customFormat="1" ht="30">
      <c r="A595" s="137"/>
      <c r="B595" s="138" t="s">
        <v>238</v>
      </c>
      <c r="C595" s="139" t="s">
        <v>847</v>
      </c>
      <c r="D595" s="138" t="s">
        <v>14</v>
      </c>
      <c r="E595" s="138">
        <v>1</v>
      </c>
      <c r="F595" s="143">
        <v>241</v>
      </c>
      <c r="G595" s="107">
        <f>ROUND(E595*F595,2)</f>
        <v>241</v>
      </c>
    </row>
    <row r="596" spans="1:7" s="167" customFormat="1" ht="30">
      <c r="A596" s="137"/>
      <c r="B596" s="138" t="s">
        <v>597</v>
      </c>
      <c r="C596" s="139" t="s">
        <v>598</v>
      </c>
      <c r="D596" s="138" t="s">
        <v>6</v>
      </c>
      <c r="E596" s="138">
        <v>2.06</v>
      </c>
      <c r="F596" s="143">
        <v>12.54</v>
      </c>
      <c r="G596" s="107">
        <f>ROUND(E596*F596,2)</f>
        <v>25.83</v>
      </c>
    </row>
    <row r="597" spans="1:7" s="167" customFormat="1" ht="15.75">
      <c r="A597" s="137"/>
      <c r="B597" s="138" t="s">
        <v>692</v>
      </c>
      <c r="C597" s="139" t="s">
        <v>693</v>
      </c>
      <c r="D597" s="138" t="s">
        <v>6</v>
      </c>
      <c r="E597" s="138">
        <v>2.06</v>
      </c>
      <c r="F597" s="143">
        <v>17.3</v>
      </c>
      <c r="G597" s="107">
        <f>ROUND(E597*F597,2)</f>
        <v>35.64</v>
      </c>
    </row>
    <row r="598" spans="1:7" s="167" customFormat="1" ht="15.75">
      <c r="A598" s="137"/>
      <c r="B598" s="138" t="s">
        <v>822</v>
      </c>
      <c r="C598" s="139" t="s">
        <v>823</v>
      </c>
      <c r="D598" s="138" t="s">
        <v>1</v>
      </c>
      <c r="E598" s="138">
        <v>0.005</v>
      </c>
      <c r="F598" s="143">
        <v>253.5163</v>
      </c>
      <c r="G598" s="107">
        <f>ROUND(E598*F598,2)</f>
        <v>1.27</v>
      </c>
    </row>
    <row r="599" spans="1:7" s="167" customFormat="1" ht="15.75">
      <c r="A599" s="137"/>
      <c r="B599" s="138"/>
      <c r="C599" s="139"/>
      <c r="D599" s="138"/>
      <c r="E599" s="138" t="s">
        <v>7</v>
      </c>
      <c r="F599" s="143"/>
      <c r="G599" s="107">
        <f>ROUND(SUM(G595:G598),2)</f>
        <v>303.74</v>
      </c>
    </row>
    <row r="600" spans="1:7" s="132" customFormat="1" ht="30.75">
      <c r="A600" s="144" t="s">
        <v>246</v>
      </c>
      <c r="B600" s="144" t="s">
        <v>848</v>
      </c>
      <c r="C600" s="145" t="s">
        <v>551</v>
      </c>
      <c r="D600" s="144" t="s">
        <v>3</v>
      </c>
      <c r="E600" s="279">
        <v>4.9</v>
      </c>
      <c r="F600" s="146">
        <f>ROUND(F601,2)-0.01</f>
        <v>137.74</v>
      </c>
      <c r="G600" s="28">
        <f>ROUND((E600*F600),2)</f>
        <v>674.93</v>
      </c>
    </row>
    <row r="601" spans="1:7" s="167" customFormat="1" ht="30">
      <c r="A601" s="137"/>
      <c r="B601" s="138" t="s">
        <v>848</v>
      </c>
      <c r="C601" s="139" t="s">
        <v>849</v>
      </c>
      <c r="D601" s="138" t="s">
        <v>3</v>
      </c>
      <c r="E601" s="138">
        <v>1</v>
      </c>
      <c r="F601" s="143">
        <f>G604</f>
        <v>137.75</v>
      </c>
      <c r="G601" s="107">
        <f>ROUND(E601*F601,2)</f>
        <v>137.75</v>
      </c>
    </row>
    <row r="602" spans="1:7" s="167" customFormat="1" ht="30">
      <c r="A602" s="137"/>
      <c r="B602" s="138" t="s">
        <v>243</v>
      </c>
      <c r="C602" s="139" t="s">
        <v>1373</v>
      </c>
      <c r="D602" s="138" t="s">
        <v>3</v>
      </c>
      <c r="E602" s="138">
        <v>1</v>
      </c>
      <c r="F602" s="138">
        <v>134.8332</v>
      </c>
      <c r="G602" s="107">
        <f>ROUND(E602*F602,2)</f>
        <v>134.83</v>
      </c>
    </row>
    <row r="603" spans="1:7" s="167" customFormat="1" ht="15.75">
      <c r="A603" s="137"/>
      <c r="B603" s="138" t="s">
        <v>244</v>
      </c>
      <c r="C603" s="139" t="s">
        <v>850</v>
      </c>
      <c r="D603" s="138" t="s">
        <v>14</v>
      </c>
      <c r="E603" s="138">
        <v>0.17</v>
      </c>
      <c r="F603" s="138">
        <v>17.17</v>
      </c>
      <c r="G603" s="107">
        <f>ROUND(E603*F603,2)</f>
        <v>2.92</v>
      </c>
    </row>
    <row r="604" spans="1:7" s="167" customFormat="1" ht="15.75">
      <c r="A604" s="137"/>
      <c r="B604" s="138"/>
      <c r="C604" s="139"/>
      <c r="D604" s="138"/>
      <c r="E604" s="138" t="s">
        <v>7</v>
      </c>
      <c r="F604" s="138"/>
      <c r="G604" s="107">
        <f>ROUND(SUM(G602:G603),2)</f>
        <v>137.75</v>
      </c>
    </row>
    <row r="605" spans="1:7" s="132" customFormat="1" ht="45">
      <c r="A605" s="144" t="s">
        <v>248</v>
      </c>
      <c r="B605" s="144" t="s">
        <v>851</v>
      </c>
      <c r="C605" s="145" t="s">
        <v>1239</v>
      </c>
      <c r="D605" s="144" t="s">
        <v>3</v>
      </c>
      <c r="E605" s="279">
        <v>4.9</v>
      </c>
      <c r="F605" s="146">
        <f>ROUND(F606,2)-0.02</f>
        <v>12.59</v>
      </c>
      <c r="G605" s="28">
        <f>ROUND((E605*F605),2)</f>
        <v>61.69</v>
      </c>
    </row>
    <row r="606" spans="1:7" s="166" customFormat="1" ht="60">
      <c r="A606" s="137"/>
      <c r="B606" s="138" t="s">
        <v>851</v>
      </c>
      <c r="C606" s="139" t="s">
        <v>852</v>
      </c>
      <c r="D606" s="138" t="s">
        <v>3</v>
      </c>
      <c r="E606" s="138">
        <v>1</v>
      </c>
      <c r="F606" s="143">
        <f>G611</f>
        <v>12.61</v>
      </c>
      <c r="G606" s="107">
        <f>ROUND(E606*F606,2)</f>
        <v>12.61</v>
      </c>
    </row>
    <row r="607" spans="1:7" s="166" customFormat="1" ht="30">
      <c r="A607" s="137"/>
      <c r="B607" s="138" t="s">
        <v>820</v>
      </c>
      <c r="C607" s="139" t="s">
        <v>821</v>
      </c>
      <c r="D607" s="138" t="s">
        <v>6</v>
      </c>
      <c r="E607" s="138">
        <v>0.0824</v>
      </c>
      <c r="F607" s="143">
        <v>18.63</v>
      </c>
      <c r="G607" s="107">
        <f>ROUND(E607*F607,2)</f>
        <v>1.54</v>
      </c>
    </row>
    <row r="608" spans="1:7" s="166" customFormat="1" ht="30">
      <c r="A608" s="137"/>
      <c r="B608" s="138" t="s">
        <v>597</v>
      </c>
      <c r="C608" s="139" t="s">
        <v>598</v>
      </c>
      <c r="D608" s="138" t="s">
        <v>6</v>
      </c>
      <c r="E608" s="138">
        <v>0.2575</v>
      </c>
      <c r="F608" s="143">
        <v>12.54</v>
      </c>
      <c r="G608" s="107">
        <f>ROUND(E608*F608,2)</f>
        <v>3.23</v>
      </c>
    </row>
    <row r="609" spans="1:7" s="166" customFormat="1" ht="30">
      <c r="A609" s="137"/>
      <c r="B609" s="138" t="s">
        <v>853</v>
      </c>
      <c r="C609" s="139" t="s">
        <v>854</v>
      </c>
      <c r="D609" s="138" t="s">
        <v>6</v>
      </c>
      <c r="E609" s="138">
        <v>0.2575</v>
      </c>
      <c r="F609" s="143">
        <v>17.3</v>
      </c>
      <c r="G609" s="107">
        <f>ROUND(E609*F609,2)</f>
        <v>4.45</v>
      </c>
    </row>
    <row r="610" spans="1:7" s="166" customFormat="1" ht="15.75">
      <c r="A610" s="137"/>
      <c r="B610" s="138" t="s">
        <v>855</v>
      </c>
      <c r="C610" s="139" t="s">
        <v>856</v>
      </c>
      <c r="D610" s="138" t="s">
        <v>1</v>
      </c>
      <c r="E610" s="138">
        <v>0.125</v>
      </c>
      <c r="F610" s="143">
        <v>27.124</v>
      </c>
      <c r="G610" s="107">
        <f>ROUND(E610*F610,2)</f>
        <v>3.39</v>
      </c>
    </row>
    <row r="611" spans="1:7" s="166" customFormat="1" ht="15.75">
      <c r="A611" s="137"/>
      <c r="B611" s="138"/>
      <c r="C611" s="139"/>
      <c r="D611" s="138"/>
      <c r="E611" s="138" t="s">
        <v>7</v>
      </c>
      <c r="F611" s="143"/>
      <c r="G611" s="107">
        <f>ROUND(SUM(G607:G610),2)</f>
        <v>12.61</v>
      </c>
    </row>
    <row r="612" spans="1:7" s="132" customFormat="1" ht="60">
      <c r="A612" s="144" t="s">
        <v>249</v>
      </c>
      <c r="B612" s="144" t="s">
        <v>857</v>
      </c>
      <c r="C612" s="145" t="s">
        <v>552</v>
      </c>
      <c r="D612" s="144" t="s">
        <v>3</v>
      </c>
      <c r="E612" s="279">
        <v>19</v>
      </c>
      <c r="F612" s="146">
        <f>ROUND(F613,2)-0.03</f>
        <v>89.86</v>
      </c>
      <c r="G612" s="28">
        <f>ROUND((E612*F612),2)</f>
        <v>1707.34</v>
      </c>
    </row>
    <row r="613" spans="1:7" s="166" customFormat="1" ht="90">
      <c r="A613" s="137"/>
      <c r="B613" s="138" t="s">
        <v>857</v>
      </c>
      <c r="C613" s="139" t="s">
        <v>858</v>
      </c>
      <c r="D613" s="138" t="s">
        <v>3</v>
      </c>
      <c r="E613" s="138">
        <v>1</v>
      </c>
      <c r="F613" s="143">
        <f>G621</f>
        <v>89.89</v>
      </c>
      <c r="G613" s="107">
        <f>ROUND(E613*F613,2)</f>
        <v>89.89</v>
      </c>
    </row>
    <row r="614" spans="1:7" s="166" customFormat="1" ht="15.75">
      <c r="A614" s="137"/>
      <c r="B614" s="138" t="s">
        <v>247</v>
      </c>
      <c r="C614" s="139" t="s">
        <v>859</v>
      </c>
      <c r="D614" s="138" t="s">
        <v>3</v>
      </c>
      <c r="E614" s="138">
        <v>1</v>
      </c>
      <c r="F614" s="143">
        <v>55</v>
      </c>
      <c r="G614" s="107">
        <f>ROUND(E614*F614,2)</f>
        <v>55</v>
      </c>
    </row>
    <row r="615" spans="1:7" s="166" customFormat="1" ht="30">
      <c r="A615" s="137"/>
      <c r="B615" s="138" t="s">
        <v>820</v>
      </c>
      <c r="C615" s="139" t="s">
        <v>821</v>
      </c>
      <c r="D615" s="138" t="s">
        <v>6</v>
      </c>
      <c r="E615" s="138">
        <v>0.0618</v>
      </c>
      <c r="F615" s="143">
        <v>18.63</v>
      </c>
      <c r="G615" s="107">
        <f>ROUND(E615*F615,2)</f>
        <v>1.15</v>
      </c>
    </row>
    <row r="616" spans="1:7" s="166" customFormat="1" ht="30">
      <c r="A616" s="137"/>
      <c r="B616" s="138" t="s">
        <v>597</v>
      </c>
      <c r="C616" s="139" t="s">
        <v>598</v>
      </c>
      <c r="D616" s="138" t="s">
        <v>6</v>
      </c>
      <c r="E616" s="138">
        <v>1.2669</v>
      </c>
      <c r="F616" s="143">
        <v>12.54</v>
      </c>
      <c r="G616" s="107">
        <f>ROUND(E616*F616,2)</f>
        <v>15.89</v>
      </c>
    </row>
    <row r="617" spans="1:7" s="166" customFormat="1" ht="30">
      <c r="A617" s="137"/>
      <c r="B617" s="138" t="s">
        <v>853</v>
      </c>
      <c r="C617" s="139" t="s">
        <v>854</v>
      </c>
      <c r="D617" s="138" t="s">
        <v>6</v>
      </c>
      <c r="E617" s="138">
        <v>0.7725</v>
      </c>
      <c r="F617" s="143">
        <v>17.3</v>
      </c>
      <c r="G617" s="107">
        <f>ROUND(E617*F617,2)</f>
        <v>13.36</v>
      </c>
    </row>
    <row r="618" spans="1:7" s="166" customFormat="1" ht="15.75">
      <c r="A618" s="137"/>
      <c r="B618" s="138" t="s">
        <v>860</v>
      </c>
      <c r="C618" s="139" t="s">
        <v>861</v>
      </c>
      <c r="D618" s="138" t="s">
        <v>6</v>
      </c>
      <c r="E618" s="138">
        <v>0.048</v>
      </c>
      <c r="F618" s="143">
        <v>34.1554</v>
      </c>
      <c r="G618" s="107">
        <f>ROUND(E618*F618,2)</f>
        <v>1.64</v>
      </c>
    </row>
    <row r="619" spans="1:7" s="166" customFormat="1" ht="15.75">
      <c r="A619" s="137"/>
      <c r="B619" s="138" t="s">
        <v>721</v>
      </c>
      <c r="C619" s="139" t="s">
        <v>722</v>
      </c>
      <c r="D619" s="138" t="s">
        <v>6</v>
      </c>
      <c r="E619" s="138">
        <v>0.048</v>
      </c>
      <c r="F619" s="143">
        <v>48.7601</v>
      </c>
      <c r="G619" s="107">
        <f>ROUND(E619*F619,2)</f>
        <v>2.34</v>
      </c>
    </row>
    <row r="620" spans="1:7" s="166" customFormat="1" ht="15.75">
      <c r="A620" s="137"/>
      <c r="B620" s="138" t="s">
        <v>822</v>
      </c>
      <c r="C620" s="139" t="s">
        <v>823</v>
      </c>
      <c r="D620" s="138" t="s">
        <v>1</v>
      </c>
      <c r="E620" s="138">
        <v>0.002</v>
      </c>
      <c r="F620" s="143">
        <v>253.5163</v>
      </c>
      <c r="G620" s="107">
        <f>ROUND(E620*F620,2)</f>
        <v>0.51</v>
      </c>
    </row>
    <row r="621" spans="1:7" s="166" customFormat="1" ht="15.75">
      <c r="A621" s="137"/>
      <c r="B621" s="138"/>
      <c r="C621" s="139"/>
      <c r="D621" s="138"/>
      <c r="E621" s="138" t="s">
        <v>7</v>
      </c>
      <c r="F621" s="143"/>
      <c r="G621" s="107">
        <f>ROUND(SUM(G614:G620),2)</f>
        <v>89.89</v>
      </c>
    </row>
    <row r="622" spans="1:8" s="132" customFormat="1" ht="75">
      <c r="A622" s="144" t="s">
        <v>251</v>
      </c>
      <c r="B622" s="144" t="str">
        <f>B623</f>
        <v>SI000097994</v>
      </c>
      <c r="C622" s="145" t="s">
        <v>591</v>
      </c>
      <c r="D622" s="144" t="s">
        <v>14</v>
      </c>
      <c r="E622" s="279">
        <v>3</v>
      </c>
      <c r="F622" s="146">
        <f>ROUND(F624,2)-0.05</f>
        <v>1619.14</v>
      </c>
      <c r="G622" s="28">
        <f>ROUND((E622*F622),2)</f>
        <v>4857.42</v>
      </c>
      <c r="H622" s="132" t="s">
        <v>580</v>
      </c>
    </row>
    <row r="623" spans="1:7" s="132" customFormat="1" ht="45">
      <c r="A623" s="137"/>
      <c r="B623" s="138" t="s">
        <v>1495</v>
      </c>
      <c r="C623" s="139" t="s">
        <v>579</v>
      </c>
      <c r="D623" s="138" t="s">
        <v>14</v>
      </c>
      <c r="E623" s="138"/>
      <c r="F623" s="143">
        <f>ROUND(2109.961954,2)</f>
        <v>2109.96</v>
      </c>
      <c r="G623" s="107"/>
    </row>
    <row r="624" spans="1:7" s="167" customFormat="1" ht="90">
      <c r="A624" s="137"/>
      <c r="B624" s="138" t="s">
        <v>832</v>
      </c>
      <c r="C624" s="139" t="s">
        <v>833</v>
      </c>
      <c r="D624" s="138" t="s">
        <v>14</v>
      </c>
      <c r="E624" s="138">
        <v>1</v>
      </c>
      <c r="F624" s="467">
        <f>G638</f>
        <v>1619.19</v>
      </c>
      <c r="G624" s="107">
        <f>ROUND(E624*F624,2)</f>
        <v>1619.19</v>
      </c>
    </row>
    <row r="625" spans="1:7" s="167" customFormat="1" ht="15.75">
      <c r="A625" s="137"/>
      <c r="B625" s="138" t="s">
        <v>239</v>
      </c>
      <c r="C625" s="139" t="s">
        <v>834</v>
      </c>
      <c r="D625" s="138" t="s">
        <v>14</v>
      </c>
      <c r="E625" s="138">
        <v>1</v>
      </c>
      <c r="F625" s="143">
        <v>45</v>
      </c>
      <c r="G625" s="107">
        <f>ROUND(E625*F625,2)</f>
        <v>45</v>
      </c>
    </row>
    <row r="626" spans="1:7" s="167" customFormat="1" ht="15.75">
      <c r="A626" s="137"/>
      <c r="B626" s="138" t="s">
        <v>187</v>
      </c>
      <c r="C626" s="139" t="s">
        <v>835</v>
      </c>
      <c r="D626" s="138" t="s">
        <v>5</v>
      </c>
      <c r="E626" s="138">
        <v>14.34</v>
      </c>
      <c r="F626" s="143">
        <v>3.98</v>
      </c>
      <c r="G626" s="107">
        <f>ROUND(E626*F626,2)</f>
        <v>57.07</v>
      </c>
    </row>
    <row r="627" spans="1:7" s="167" customFormat="1" ht="15.75">
      <c r="A627" s="137"/>
      <c r="B627" s="138" t="s">
        <v>240</v>
      </c>
      <c r="C627" s="139" t="s">
        <v>836</v>
      </c>
      <c r="D627" s="138" t="s">
        <v>5</v>
      </c>
      <c r="E627" s="138">
        <v>40.95</v>
      </c>
      <c r="F627" s="143">
        <v>4.02</v>
      </c>
      <c r="G627" s="107">
        <f>ROUND(E627*F627,2)</f>
        <v>164.62</v>
      </c>
    </row>
    <row r="628" spans="1:7" s="167" customFormat="1" ht="15.75">
      <c r="A628" s="137"/>
      <c r="B628" s="138" t="s">
        <v>25</v>
      </c>
      <c r="C628" s="139" t="s">
        <v>734</v>
      </c>
      <c r="D628" s="138" t="s">
        <v>5</v>
      </c>
      <c r="E628" s="138">
        <v>1.66</v>
      </c>
      <c r="F628" s="143">
        <v>6.4</v>
      </c>
      <c r="G628" s="107">
        <f>ROUND(E628*F628,2)</f>
        <v>10.62</v>
      </c>
    </row>
    <row r="629" spans="1:7" s="167" customFormat="1" ht="30">
      <c r="A629" s="137"/>
      <c r="B629" s="138" t="s">
        <v>597</v>
      </c>
      <c r="C629" s="139" t="s">
        <v>598</v>
      </c>
      <c r="D629" s="138" t="s">
        <v>6</v>
      </c>
      <c r="E629" s="138">
        <v>6.4581</v>
      </c>
      <c r="F629" s="143">
        <v>12.54</v>
      </c>
      <c r="G629" s="107">
        <f>ROUND(E629*F629,2)</f>
        <v>80.98</v>
      </c>
    </row>
    <row r="630" spans="1:7" s="167" customFormat="1" ht="15.75">
      <c r="A630" s="137"/>
      <c r="B630" s="138" t="s">
        <v>692</v>
      </c>
      <c r="C630" s="139" t="s">
        <v>693</v>
      </c>
      <c r="D630" s="138" t="s">
        <v>6</v>
      </c>
      <c r="E630" s="138">
        <v>6.4581</v>
      </c>
      <c r="F630" s="143">
        <v>17.3</v>
      </c>
      <c r="G630" s="107">
        <f>ROUND(E630*F630,2)</f>
        <v>111.73</v>
      </c>
    </row>
    <row r="631" spans="1:7" s="167" customFormat="1" ht="30">
      <c r="A631" s="137"/>
      <c r="B631" s="138" t="s">
        <v>757</v>
      </c>
      <c r="C631" s="139" t="s">
        <v>758</v>
      </c>
      <c r="D631" s="138" t="s">
        <v>6</v>
      </c>
      <c r="E631" s="138">
        <v>1.1227</v>
      </c>
      <c r="F631" s="143">
        <v>17.3</v>
      </c>
      <c r="G631" s="107">
        <f>ROUND(E631*F631,2)</f>
        <v>19.42</v>
      </c>
    </row>
    <row r="632" spans="1:7" s="167" customFormat="1" ht="15.75">
      <c r="A632" s="137"/>
      <c r="B632" s="138" t="s">
        <v>837</v>
      </c>
      <c r="C632" s="139" t="s">
        <v>838</v>
      </c>
      <c r="D632" s="138" t="s">
        <v>6</v>
      </c>
      <c r="E632" s="138">
        <v>0.17</v>
      </c>
      <c r="F632" s="143">
        <v>60.9903</v>
      </c>
      <c r="G632" s="107">
        <f>ROUND(E632*F632,2)</f>
        <v>10.37</v>
      </c>
    </row>
    <row r="633" spans="1:7" s="167" customFormat="1" ht="15.75">
      <c r="A633" s="137"/>
      <c r="B633" s="138" t="s">
        <v>794</v>
      </c>
      <c r="C633" s="139" t="s">
        <v>795</v>
      </c>
      <c r="D633" s="138" t="s">
        <v>6</v>
      </c>
      <c r="E633" s="138">
        <v>0.33</v>
      </c>
      <c r="F633" s="143">
        <v>140.7452</v>
      </c>
      <c r="G633" s="107">
        <f>ROUND(E633*F633,2)</f>
        <v>46.45</v>
      </c>
    </row>
    <row r="634" spans="1:7" s="167" customFormat="1" ht="15.75">
      <c r="A634" s="137"/>
      <c r="B634" s="138" t="s">
        <v>839</v>
      </c>
      <c r="C634" s="139" t="s">
        <v>840</v>
      </c>
      <c r="D634" s="138" t="s">
        <v>0</v>
      </c>
      <c r="E634" s="138">
        <v>6.24</v>
      </c>
      <c r="F634" s="143">
        <v>21.0133</v>
      </c>
      <c r="G634" s="107">
        <f>ROUND(E634*F634,2)</f>
        <v>131.12</v>
      </c>
    </row>
    <row r="635" spans="1:7" s="167" customFormat="1" ht="15.75">
      <c r="A635" s="137"/>
      <c r="B635" s="138" t="s">
        <v>841</v>
      </c>
      <c r="C635" s="139" t="s">
        <v>842</v>
      </c>
      <c r="D635" s="138" t="s">
        <v>0</v>
      </c>
      <c r="E635" s="138">
        <v>7.36</v>
      </c>
      <c r="F635" s="143">
        <v>91.7013</v>
      </c>
      <c r="G635" s="107">
        <f>ROUND(E635*F635,2)</f>
        <v>674.92</v>
      </c>
    </row>
    <row r="636" spans="1:7" s="167" customFormat="1" ht="15.75">
      <c r="A636" s="137"/>
      <c r="B636" s="138" t="s">
        <v>843</v>
      </c>
      <c r="C636" s="139" t="s">
        <v>844</v>
      </c>
      <c r="D636" s="138" t="s">
        <v>0</v>
      </c>
      <c r="E636" s="138">
        <v>1.92</v>
      </c>
      <c r="F636" s="143">
        <v>50.2704</v>
      </c>
      <c r="G636" s="107">
        <f>ROUND(E636*F636,2)</f>
        <v>96.52</v>
      </c>
    </row>
    <row r="637" spans="1:7" s="167" customFormat="1" ht="15.75">
      <c r="A637" s="137"/>
      <c r="B637" s="138" t="s">
        <v>677</v>
      </c>
      <c r="C637" s="139" t="s">
        <v>678</v>
      </c>
      <c r="D637" s="138" t="s">
        <v>1</v>
      </c>
      <c r="E637" s="138">
        <v>0.871</v>
      </c>
      <c r="F637" s="143">
        <v>195.6056</v>
      </c>
      <c r="G637" s="107">
        <f>ROUND(E637*F637,2)</f>
        <v>170.37</v>
      </c>
    </row>
    <row r="638" spans="1:7" s="167" customFormat="1" ht="15.75">
      <c r="A638" s="137"/>
      <c r="B638" s="138"/>
      <c r="C638" s="139"/>
      <c r="D638" s="138"/>
      <c r="E638" s="138" t="s">
        <v>7</v>
      </c>
      <c r="F638" s="143"/>
      <c r="G638" s="107">
        <f>ROUND(SUM(G625:G637),2)</f>
        <v>1619.19</v>
      </c>
    </row>
    <row r="639" spans="1:7" s="132" customFormat="1" ht="45">
      <c r="A639" s="144" t="s">
        <v>252</v>
      </c>
      <c r="B639" s="144" t="s">
        <v>862</v>
      </c>
      <c r="C639" s="145" t="s">
        <v>455</v>
      </c>
      <c r="D639" s="144" t="s">
        <v>14</v>
      </c>
      <c r="E639" s="144">
        <v>3</v>
      </c>
      <c r="F639" s="146">
        <f>ROUND(F640,2)-0.07</f>
        <v>272.27</v>
      </c>
      <c r="G639" s="28">
        <f>ROUND((E639*F639),2)</f>
        <v>816.81</v>
      </c>
    </row>
    <row r="640" spans="1:7" s="167" customFormat="1" ht="45">
      <c r="A640" s="137"/>
      <c r="B640" s="138" t="s">
        <v>862</v>
      </c>
      <c r="C640" s="139" t="s">
        <v>863</v>
      </c>
      <c r="D640" s="138" t="s">
        <v>14</v>
      </c>
      <c r="E640" s="138">
        <v>1</v>
      </c>
      <c r="F640" s="143">
        <f>G651</f>
        <v>272.34</v>
      </c>
      <c r="G640" s="107">
        <f>ROUND(E640*F640,2)</f>
        <v>272.34</v>
      </c>
    </row>
    <row r="641" spans="1:7" s="167" customFormat="1" ht="15.75">
      <c r="A641" s="137"/>
      <c r="B641" s="138" t="s">
        <v>397</v>
      </c>
      <c r="C641" s="139" t="s">
        <v>864</v>
      </c>
      <c r="D641" s="138" t="s">
        <v>0</v>
      </c>
      <c r="E641" s="138">
        <v>0.2549</v>
      </c>
      <c r="F641" s="143">
        <v>17.73</v>
      </c>
      <c r="G641" s="107">
        <f>ROUND(E641*F641,2)</f>
        <v>4.52</v>
      </c>
    </row>
    <row r="642" spans="1:7" s="167" customFormat="1" ht="30">
      <c r="A642" s="137"/>
      <c r="B642" s="138" t="s">
        <v>597</v>
      </c>
      <c r="C642" s="139" t="s">
        <v>598</v>
      </c>
      <c r="D642" s="138" t="s">
        <v>6</v>
      </c>
      <c r="E642" s="138">
        <v>5.1809</v>
      </c>
      <c r="F642" s="143">
        <v>12.54</v>
      </c>
      <c r="G642" s="107">
        <f>ROUND(E642*F642,2)</f>
        <v>64.97</v>
      </c>
    </row>
    <row r="643" spans="1:7" s="167" customFormat="1" ht="15.75">
      <c r="A643" s="137"/>
      <c r="B643" s="138" t="s">
        <v>692</v>
      </c>
      <c r="C643" s="139" t="s">
        <v>693</v>
      </c>
      <c r="D643" s="138" t="s">
        <v>6</v>
      </c>
      <c r="E643" s="138">
        <v>1.545</v>
      </c>
      <c r="F643" s="143">
        <v>17.3</v>
      </c>
      <c r="G643" s="107">
        <f>ROUND(E643*F643,2)</f>
        <v>26.73</v>
      </c>
    </row>
    <row r="644" spans="1:7" s="167" customFormat="1" ht="30">
      <c r="A644" s="137"/>
      <c r="B644" s="138" t="s">
        <v>755</v>
      </c>
      <c r="C644" s="139" t="s">
        <v>756</v>
      </c>
      <c r="D644" s="138" t="s">
        <v>6</v>
      </c>
      <c r="E644" s="138">
        <v>2.0909</v>
      </c>
      <c r="F644" s="143">
        <v>17.3</v>
      </c>
      <c r="G644" s="107">
        <f>ROUND(E644*F644,2)</f>
        <v>36.17</v>
      </c>
    </row>
    <row r="645" spans="1:7" s="167" customFormat="1" ht="15.75">
      <c r="A645" s="137"/>
      <c r="B645" s="138" t="s">
        <v>865</v>
      </c>
      <c r="C645" s="139" t="s">
        <v>866</v>
      </c>
      <c r="D645" s="138" t="s">
        <v>1</v>
      </c>
      <c r="E645" s="138">
        <v>0.00142</v>
      </c>
      <c r="F645" s="143">
        <v>807.2252</v>
      </c>
      <c r="G645" s="107">
        <f>ROUND(E645*F645,2)</f>
        <v>1.15</v>
      </c>
    </row>
    <row r="646" spans="1:7" s="167" customFormat="1" ht="15.75">
      <c r="A646" s="137"/>
      <c r="B646" s="138" t="s">
        <v>867</v>
      </c>
      <c r="C646" s="139" t="s">
        <v>868</v>
      </c>
      <c r="D646" s="138" t="s">
        <v>5</v>
      </c>
      <c r="E646" s="138">
        <v>15.89</v>
      </c>
      <c r="F646" s="143">
        <v>3.2271</v>
      </c>
      <c r="G646" s="107">
        <f>ROUND(E646*F646,2)</f>
        <v>51.28</v>
      </c>
    </row>
    <row r="647" spans="1:7" s="167" customFormat="1" ht="15.75">
      <c r="A647" s="137"/>
      <c r="B647" s="138" t="s">
        <v>869</v>
      </c>
      <c r="C647" s="139" t="s">
        <v>870</v>
      </c>
      <c r="D647" s="138" t="s">
        <v>5</v>
      </c>
      <c r="E647" s="138">
        <v>15.89</v>
      </c>
      <c r="F647" s="143">
        <v>3.7309</v>
      </c>
      <c r="G647" s="107">
        <f>ROUND(E647*F647,2)</f>
        <v>59.28</v>
      </c>
    </row>
    <row r="648" spans="1:7" s="167" customFormat="1" ht="15.75">
      <c r="A648" s="137"/>
      <c r="B648" s="138" t="s">
        <v>871</v>
      </c>
      <c r="C648" s="139" t="s">
        <v>872</v>
      </c>
      <c r="D648" s="138" t="s">
        <v>1</v>
      </c>
      <c r="E648" s="138">
        <v>0.083678</v>
      </c>
      <c r="F648" s="143">
        <v>65.6313</v>
      </c>
      <c r="G648" s="107">
        <f>ROUND(E648*F648,2)</f>
        <v>5.49</v>
      </c>
    </row>
    <row r="649" spans="1:7" s="167" customFormat="1" ht="15.75">
      <c r="A649" s="137"/>
      <c r="B649" s="138" t="s">
        <v>681</v>
      </c>
      <c r="C649" s="139" t="s">
        <v>682</v>
      </c>
      <c r="D649" s="138" t="s">
        <v>1</v>
      </c>
      <c r="E649" s="138">
        <v>0.083678</v>
      </c>
      <c r="F649" s="143">
        <f>ROUND(62.4662,2)</f>
        <v>62.47</v>
      </c>
      <c r="G649" s="107">
        <f>ROUND(E649*F649,2)</f>
        <v>5.23</v>
      </c>
    </row>
    <row r="650" spans="1:7" s="167" customFormat="1" ht="15.75">
      <c r="A650" s="137"/>
      <c r="B650" s="138" t="s">
        <v>679</v>
      </c>
      <c r="C650" s="139" t="s">
        <v>680</v>
      </c>
      <c r="D650" s="138" t="s">
        <v>1</v>
      </c>
      <c r="E650" s="138">
        <v>0.083678</v>
      </c>
      <c r="F650" s="143">
        <v>209.3668</v>
      </c>
      <c r="G650" s="107">
        <f>ROUND(E650*F650,2)</f>
        <v>17.52</v>
      </c>
    </row>
    <row r="651" spans="1:7" s="167" customFormat="1" ht="15.75">
      <c r="A651" s="137"/>
      <c r="B651" s="138"/>
      <c r="C651" s="139"/>
      <c r="D651" s="138"/>
      <c r="E651" s="138" t="s">
        <v>7</v>
      </c>
      <c r="F651" s="143"/>
      <c r="G651" s="107">
        <f>ROUND(SUM(G641:G650),2)</f>
        <v>272.34</v>
      </c>
    </row>
    <row r="652" spans="1:7" s="117" customFormat="1" ht="15.75">
      <c r="A652" s="127" t="s">
        <v>162</v>
      </c>
      <c r="B652" s="127"/>
      <c r="C652" s="128" t="s">
        <v>456</v>
      </c>
      <c r="D652" s="127"/>
      <c r="E652" s="127"/>
      <c r="F652" s="127"/>
      <c r="G652" s="127"/>
    </row>
    <row r="653" spans="1:7" ht="45.75">
      <c r="A653" s="144" t="s">
        <v>253</v>
      </c>
      <c r="B653" s="194" t="s">
        <v>1024</v>
      </c>
      <c r="C653" s="145" t="s">
        <v>566</v>
      </c>
      <c r="D653" s="144" t="s">
        <v>1</v>
      </c>
      <c r="E653" s="144">
        <v>22.72</v>
      </c>
      <c r="F653" s="144">
        <f>ROUND(F654,2)-0.03</f>
        <v>346.72</v>
      </c>
      <c r="G653" s="28">
        <f>ROUND((E653*F653),2)</f>
        <v>7877.48</v>
      </c>
    </row>
    <row r="654" spans="1:7" ht="30">
      <c r="A654" s="29"/>
      <c r="B654" s="29" t="s">
        <v>1025</v>
      </c>
      <c r="C654" s="30" t="s">
        <v>457</v>
      </c>
      <c r="D654" s="29" t="s">
        <v>1</v>
      </c>
      <c r="E654" s="29">
        <v>1</v>
      </c>
      <c r="F654" s="29">
        <f>G663</f>
        <v>346.75</v>
      </c>
      <c r="G654" s="29">
        <f>ROUND(E654*F654,2)</f>
        <v>346.75</v>
      </c>
    </row>
    <row r="655" spans="1:7" s="117" customFormat="1" ht="31.5">
      <c r="A655" s="254"/>
      <c r="B655" s="254" t="s">
        <v>1331</v>
      </c>
      <c r="C655" s="255" t="s">
        <v>1332</v>
      </c>
      <c r="D655" s="254" t="s">
        <v>1</v>
      </c>
      <c r="E655" s="254">
        <v>0</v>
      </c>
      <c r="F655" s="254">
        <v>315.21</v>
      </c>
      <c r="G655" s="254">
        <f>ROUND(E655*F655,2)</f>
        <v>0</v>
      </c>
    </row>
    <row r="656" spans="1:7" s="117" customFormat="1" ht="31.5">
      <c r="A656" s="254"/>
      <c r="B656" s="254" t="s">
        <v>1374</v>
      </c>
      <c r="C656" s="255" t="s">
        <v>1375</v>
      </c>
      <c r="D656" s="254" t="s">
        <v>1</v>
      </c>
      <c r="E656" s="254">
        <v>1.163</v>
      </c>
      <c r="F656" s="254">
        <v>275.35</v>
      </c>
      <c r="G656" s="254">
        <f>ROUND(E656*F656,2)</f>
        <v>320.23</v>
      </c>
    </row>
    <row r="657" spans="1:7" ht="15.75">
      <c r="A657" s="29"/>
      <c r="B657" s="29" t="s">
        <v>119</v>
      </c>
      <c r="C657" s="30" t="s">
        <v>120</v>
      </c>
      <c r="D657" s="29" t="s">
        <v>6</v>
      </c>
      <c r="E657" s="29">
        <v>0.504</v>
      </c>
      <c r="F657" s="29">
        <f>ROUND(19.32,2)</f>
        <v>19.32</v>
      </c>
      <c r="G657" s="29">
        <f>ROUND(E657*F657,2)</f>
        <v>9.74</v>
      </c>
    </row>
    <row r="658" spans="1:7" ht="15.75">
      <c r="A658" s="29"/>
      <c r="B658" s="29" t="s">
        <v>121</v>
      </c>
      <c r="C658" s="30" t="s">
        <v>1102</v>
      </c>
      <c r="D658" s="29" t="s">
        <v>6</v>
      </c>
      <c r="E658" s="29">
        <v>0.504</v>
      </c>
      <c r="F658" s="29">
        <f>ROUND(24.27,2)</f>
        <v>24.27</v>
      </c>
      <c r="G658" s="29">
        <f>ROUND(E658*F658,2)</f>
        <v>12.23</v>
      </c>
    </row>
    <row r="659" spans="1:7" ht="30">
      <c r="A659" s="29"/>
      <c r="B659" s="29" t="s">
        <v>1333</v>
      </c>
      <c r="C659" s="30" t="s">
        <v>1349</v>
      </c>
      <c r="D659" s="29" t="s">
        <v>142</v>
      </c>
      <c r="E659" s="29">
        <v>0.066</v>
      </c>
      <c r="F659" s="29">
        <f>ROUND(0.29,2)</f>
        <v>0.29</v>
      </c>
      <c r="G659" s="29">
        <f>ROUND(E659*F659,2)</f>
        <v>0.02</v>
      </c>
    </row>
    <row r="660" spans="1:7" ht="30">
      <c r="A660" s="29"/>
      <c r="B660" s="29" t="s">
        <v>1335</v>
      </c>
      <c r="C660" s="30" t="s">
        <v>1350</v>
      </c>
      <c r="D660" s="29" t="s">
        <v>143</v>
      </c>
      <c r="E660" s="29">
        <v>0.066</v>
      </c>
      <c r="F660" s="29">
        <f>ROUND(1.39,2)</f>
        <v>1.39</v>
      </c>
      <c r="G660" s="29">
        <f>ROUND(E660*F660,2)</f>
        <v>0.09</v>
      </c>
    </row>
    <row r="661" spans="1:7" s="288" customFormat="1" ht="31.5">
      <c r="A661" s="286"/>
      <c r="B661" s="286" t="s">
        <v>1376</v>
      </c>
      <c r="C661" s="287" t="s">
        <v>564</v>
      </c>
      <c r="D661" s="286" t="s">
        <v>143</v>
      </c>
      <c r="E661" s="286">
        <v>0.9</v>
      </c>
      <c r="F661" s="286">
        <f>ROUND(4.88,2)</f>
        <v>4.88</v>
      </c>
      <c r="G661" s="286">
        <f>ROUND(E661*F661,2)</f>
        <v>4.39</v>
      </c>
    </row>
    <row r="662" spans="1:7" s="288" customFormat="1" ht="31.5">
      <c r="A662" s="286"/>
      <c r="B662" s="286" t="s">
        <v>1377</v>
      </c>
      <c r="C662" s="287" t="s">
        <v>565</v>
      </c>
      <c r="D662" s="286" t="s">
        <v>142</v>
      </c>
      <c r="E662" s="286">
        <v>0.1</v>
      </c>
      <c r="F662" s="286">
        <f>ROUND(0.49,2)</f>
        <v>0.49</v>
      </c>
      <c r="G662" s="286">
        <f>ROUND(E662*F662,2)</f>
        <v>0.05</v>
      </c>
    </row>
    <row r="663" spans="1:7" ht="15.75">
      <c r="A663" s="29"/>
      <c r="B663" s="29"/>
      <c r="C663" s="30"/>
      <c r="D663" s="29"/>
      <c r="E663" s="29" t="s">
        <v>7</v>
      </c>
      <c r="F663" s="29"/>
      <c r="G663" s="29">
        <f>SUM(G655:G662)</f>
        <v>346.75</v>
      </c>
    </row>
    <row r="664" spans="1:7" ht="45">
      <c r="A664" s="144" t="s">
        <v>256</v>
      </c>
      <c r="B664" s="194" t="s">
        <v>1027</v>
      </c>
      <c r="C664" s="145" t="s">
        <v>583</v>
      </c>
      <c r="D664" s="144" t="s">
        <v>0</v>
      </c>
      <c r="E664" s="144">
        <v>227.17</v>
      </c>
      <c r="F664" s="144">
        <f>ROUND(F665,2)-0.02</f>
        <v>20.94</v>
      </c>
      <c r="G664" s="28">
        <f>ROUND((E664*F664),2)</f>
        <v>4756.94</v>
      </c>
    </row>
    <row r="665" spans="1:7" ht="15.75">
      <c r="A665" s="29"/>
      <c r="B665" s="29" t="s">
        <v>1026</v>
      </c>
      <c r="C665" s="30" t="s">
        <v>458</v>
      </c>
      <c r="D665" s="29" t="s">
        <v>0</v>
      </c>
      <c r="E665" s="29">
        <v>1</v>
      </c>
      <c r="F665" s="29">
        <f>G671</f>
        <v>20.96</v>
      </c>
      <c r="G665" s="29">
        <f>ROUND(E665*F665,2)</f>
        <v>20.96</v>
      </c>
    </row>
    <row r="666" spans="1:7" s="117" customFormat="1" ht="47.25">
      <c r="A666" s="254"/>
      <c r="B666" s="254" t="s">
        <v>1378</v>
      </c>
      <c r="C666" s="255" t="s">
        <v>1379</v>
      </c>
      <c r="D666" s="254" t="s">
        <v>0</v>
      </c>
      <c r="E666" s="254">
        <v>0</v>
      </c>
      <c r="F666" s="254">
        <v>8.37</v>
      </c>
      <c r="G666" s="254">
        <f>ROUND(E666*F666,2)</f>
        <v>0</v>
      </c>
    </row>
    <row r="667" spans="1:7" s="117" customFormat="1" ht="31.5">
      <c r="A667" s="254"/>
      <c r="B667" s="254" t="s">
        <v>1380</v>
      </c>
      <c r="C667" s="255" t="s">
        <v>1381</v>
      </c>
      <c r="D667" s="254" t="s">
        <v>0</v>
      </c>
      <c r="E667" s="254">
        <v>1.1224</v>
      </c>
      <c r="F667" s="254">
        <v>16.83</v>
      </c>
      <c r="G667" s="254">
        <f>ROUND(E667*F667,2)</f>
        <v>18.89</v>
      </c>
    </row>
    <row r="668" spans="1:7" ht="15.75">
      <c r="A668" s="29"/>
      <c r="B668" s="29" t="s">
        <v>1114</v>
      </c>
      <c r="C668" s="30" t="s">
        <v>1115</v>
      </c>
      <c r="D668" s="29" t="s">
        <v>5</v>
      </c>
      <c r="E668" s="29">
        <v>0.015</v>
      </c>
      <c r="F668" s="29">
        <v>12.9</v>
      </c>
      <c r="G668" s="29">
        <f>ROUND(E668*F668,2)</f>
        <v>0.19</v>
      </c>
    </row>
    <row r="669" spans="1:7" ht="15.75">
      <c r="A669" s="29"/>
      <c r="B669" s="29" t="s">
        <v>119</v>
      </c>
      <c r="C669" s="30" t="s">
        <v>120</v>
      </c>
      <c r="D669" s="29" t="s">
        <v>6</v>
      </c>
      <c r="E669" s="29">
        <v>0.06</v>
      </c>
      <c r="F669" s="29">
        <f>ROUND(19.32,2)</f>
        <v>19.32</v>
      </c>
      <c r="G669" s="29">
        <f>ROUND(E669*F669,2)</f>
        <v>1.16</v>
      </c>
    </row>
    <row r="670" spans="1:7" ht="15.75">
      <c r="A670" s="29"/>
      <c r="B670" s="29" t="s">
        <v>1116</v>
      </c>
      <c r="C670" s="30" t="s">
        <v>1117</v>
      </c>
      <c r="D670" s="29" t="s">
        <v>6</v>
      </c>
      <c r="E670" s="29">
        <v>0.03</v>
      </c>
      <c r="F670" s="29">
        <f>ROUND(24.13,2)</f>
        <v>24.13</v>
      </c>
      <c r="G670" s="29">
        <f>ROUND(E670*F670,2)</f>
        <v>0.72</v>
      </c>
    </row>
    <row r="671" spans="1:7" ht="15.75">
      <c r="A671" s="29"/>
      <c r="B671" s="29"/>
      <c r="C671" s="30"/>
      <c r="D671" s="29"/>
      <c r="E671" s="29" t="s">
        <v>7</v>
      </c>
      <c r="F671" s="29"/>
      <c r="G671" s="29">
        <f>ROUND(SUM(G666:G670),2)</f>
        <v>20.96</v>
      </c>
    </row>
    <row r="672" spans="1:7" ht="30">
      <c r="A672" s="31" t="s">
        <v>400</v>
      </c>
      <c r="B672" s="250" t="s">
        <v>873</v>
      </c>
      <c r="C672" s="32" t="s">
        <v>399</v>
      </c>
      <c r="D672" s="33" t="s">
        <v>3</v>
      </c>
      <c r="E672" s="33">
        <v>205.27</v>
      </c>
      <c r="F672" s="120">
        <f>ROUND(F673,2)</f>
        <v>11.97</v>
      </c>
      <c r="G672" s="28">
        <f>ROUND((E672*F672),2)</f>
        <v>2457.08</v>
      </c>
    </row>
    <row r="673" spans="1:7" ht="30">
      <c r="A673" s="36"/>
      <c r="B673" s="173" t="s">
        <v>873</v>
      </c>
      <c r="C673" s="37" t="s">
        <v>874</v>
      </c>
      <c r="D673" s="38" t="s">
        <v>3</v>
      </c>
      <c r="E673" s="38">
        <v>1</v>
      </c>
      <c r="F673" s="39">
        <f>G676</f>
        <v>11.97</v>
      </c>
      <c r="G673" s="40">
        <f>ROUND(E673*F673,2)</f>
        <v>11.97</v>
      </c>
    </row>
    <row r="674" spans="1:7" ht="15.75">
      <c r="A674" s="41"/>
      <c r="B674" s="174" t="s">
        <v>875</v>
      </c>
      <c r="C674" s="42" t="s">
        <v>876</v>
      </c>
      <c r="D674" s="43" t="s">
        <v>6</v>
      </c>
      <c r="E674" s="43">
        <v>0.395</v>
      </c>
      <c r="F674" s="44">
        <v>19.9832</v>
      </c>
      <c r="G674" s="45">
        <f>ROUND(E674*F674,2)</f>
        <v>7.89</v>
      </c>
    </row>
    <row r="675" spans="1:7" ht="15.75">
      <c r="A675" s="41"/>
      <c r="B675" s="174" t="s">
        <v>877</v>
      </c>
      <c r="C675" s="42" t="s">
        <v>878</v>
      </c>
      <c r="D675" s="43" t="s">
        <v>6</v>
      </c>
      <c r="E675" s="43">
        <v>0.05</v>
      </c>
      <c r="F675" s="44">
        <v>81.6758</v>
      </c>
      <c r="G675" s="45">
        <f>ROUND(E675*F675,2)</f>
        <v>4.08</v>
      </c>
    </row>
    <row r="676" spans="1:7" ht="15.75">
      <c r="A676" s="41"/>
      <c r="B676" s="174"/>
      <c r="C676" s="42"/>
      <c r="D676" s="43"/>
      <c r="E676" s="43" t="s">
        <v>7</v>
      </c>
      <c r="F676" s="44"/>
      <c r="G676" s="45">
        <f>ROUND(SUM(G674:G675),2)</f>
        <v>11.97</v>
      </c>
    </row>
    <row r="677" spans="1:7" ht="15.75">
      <c r="A677" s="31" t="s">
        <v>1164</v>
      </c>
      <c r="B677" s="250" t="s">
        <v>879</v>
      </c>
      <c r="C677" s="32" t="s">
        <v>459</v>
      </c>
      <c r="D677" s="33" t="s">
        <v>3</v>
      </c>
      <c r="E677" s="33">
        <v>205.27</v>
      </c>
      <c r="F677" s="120">
        <f>ROUND(G678,2)-0.02</f>
        <v>18.42</v>
      </c>
      <c r="G677" s="28">
        <f>ROUND((E677*F677),2)</f>
        <v>3781.07</v>
      </c>
    </row>
    <row r="678" spans="1:7" ht="30">
      <c r="A678" s="36"/>
      <c r="B678" s="173" t="s">
        <v>879</v>
      </c>
      <c r="C678" s="37" t="s">
        <v>880</v>
      </c>
      <c r="D678" s="38" t="s">
        <v>3</v>
      </c>
      <c r="E678" s="38">
        <v>1</v>
      </c>
      <c r="F678" s="39">
        <f>G684</f>
        <v>18.44</v>
      </c>
      <c r="G678" s="40">
        <f>ROUND(E678*F678,2)</f>
        <v>18.44</v>
      </c>
    </row>
    <row r="679" spans="1:7" ht="15.75">
      <c r="A679" s="41"/>
      <c r="B679" s="174" t="s">
        <v>254</v>
      </c>
      <c r="C679" s="42" t="s">
        <v>881</v>
      </c>
      <c r="D679" s="43" t="s">
        <v>5</v>
      </c>
      <c r="E679" s="43">
        <v>0.8</v>
      </c>
      <c r="F679" s="44">
        <v>11.0556</v>
      </c>
      <c r="G679" s="45">
        <f>ROUND(E679*F679,2)</f>
        <v>8.84</v>
      </c>
    </row>
    <row r="680" spans="1:7" ht="15.75">
      <c r="A680" s="41"/>
      <c r="B680" s="174" t="s">
        <v>17</v>
      </c>
      <c r="C680" s="42" t="s">
        <v>1357</v>
      </c>
      <c r="D680" s="43" t="s">
        <v>5</v>
      </c>
      <c r="E680" s="43">
        <v>0.8</v>
      </c>
      <c r="F680" s="44">
        <v>0.347</v>
      </c>
      <c r="G680" s="45">
        <f>ROUND(E680*F680,2)</f>
        <v>0.28</v>
      </c>
    </row>
    <row r="681" spans="1:7" ht="15.75">
      <c r="A681" s="41"/>
      <c r="B681" s="174" t="s">
        <v>19</v>
      </c>
      <c r="C681" s="42" t="s">
        <v>747</v>
      </c>
      <c r="D681" s="43" t="s">
        <v>1</v>
      </c>
      <c r="E681" s="43">
        <v>0.0019</v>
      </c>
      <c r="F681" s="44">
        <v>55</v>
      </c>
      <c r="G681" s="45">
        <f>ROUND(E681*F681,2)</f>
        <v>0.1</v>
      </c>
    </row>
    <row r="682" spans="1:7" ht="30">
      <c r="A682" s="41"/>
      <c r="B682" s="174" t="s">
        <v>597</v>
      </c>
      <c r="C682" s="42" t="s">
        <v>598</v>
      </c>
      <c r="D682" s="43" t="s">
        <v>6</v>
      </c>
      <c r="E682" s="43">
        <v>0.309</v>
      </c>
      <c r="F682" s="44">
        <v>12.54</v>
      </c>
      <c r="G682" s="45">
        <f>ROUND(E682*F682,2)</f>
        <v>3.87</v>
      </c>
    </row>
    <row r="683" spans="1:7" ht="15.75">
      <c r="A683" s="41"/>
      <c r="B683" s="174" t="s">
        <v>692</v>
      </c>
      <c r="C683" s="42" t="s">
        <v>693</v>
      </c>
      <c r="D683" s="43" t="s">
        <v>6</v>
      </c>
      <c r="E683" s="43">
        <v>0.309</v>
      </c>
      <c r="F683" s="44">
        <v>17.3</v>
      </c>
      <c r="G683" s="45">
        <f>ROUND(E683*F683,2)</f>
        <v>5.35</v>
      </c>
    </row>
    <row r="684" spans="1:7" ht="15.75">
      <c r="A684" s="41"/>
      <c r="B684" s="174"/>
      <c r="C684" s="42"/>
      <c r="D684" s="43"/>
      <c r="E684" s="43" t="s">
        <v>7</v>
      </c>
      <c r="F684" s="44"/>
      <c r="G684" s="45">
        <f>ROUND(SUM(G679:G683),2)</f>
        <v>18.44</v>
      </c>
    </row>
    <row r="685" spans="1:7" ht="15.75" customHeight="1">
      <c r="A685" s="544" t="s">
        <v>255</v>
      </c>
      <c r="B685" s="545"/>
      <c r="C685" s="545"/>
      <c r="D685" s="545"/>
      <c r="E685" s="545"/>
      <c r="F685" s="545"/>
      <c r="G685" s="546"/>
    </row>
    <row r="686" spans="1:7" ht="61.5">
      <c r="A686" s="26" t="s">
        <v>1165</v>
      </c>
      <c r="B686" s="26" t="s">
        <v>882</v>
      </c>
      <c r="C686" s="27" t="s">
        <v>1217</v>
      </c>
      <c r="D686" s="26" t="s">
        <v>1</v>
      </c>
      <c r="E686" s="120">
        <v>5.87</v>
      </c>
      <c r="F686" s="120">
        <f>ROUND(F687,2)-0.04</f>
        <v>337.10999999999996</v>
      </c>
      <c r="G686" s="28">
        <f>ROUND((E686*F686),2)</f>
        <v>1978.84</v>
      </c>
    </row>
    <row r="687" spans="1:7" ht="45">
      <c r="A687" s="106"/>
      <c r="B687" s="104" t="s">
        <v>882</v>
      </c>
      <c r="C687" s="105" t="s">
        <v>883</v>
      </c>
      <c r="D687" s="104" t="s">
        <v>1</v>
      </c>
      <c r="E687" s="104">
        <v>1</v>
      </c>
      <c r="F687" s="155">
        <f>G694</f>
        <v>337.15</v>
      </c>
      <c r="G687" s="107">
        <f>ROUND(E687*F687,2)</f>
        <v>337.15</v>
      </c>
    </row>
    <row r="688" spans="1:7" ht="15.75">
      <c r="A688" s="106"/>
      <c r="B688" s="104" t="s">
        <v>553</v>
      </c>
      <c r="C688" s="105" t="s">
        <v>554</v>
      </c>
      <c r="D688" s="104" t="s">
        <v>1</v>
      </c>
      <c r="E688" s="104">
        <v>1</v>
      </c>
      <c r="F688" s="155">
        <v>280</v>
      </c>
      <c r="G688" s="107">
        <f>ROUND(E688*F688,2)</f>
        <v>280</v>
      </c>
    </row>
    <row r="689" spans="1:7" ht="30">
      <c r="A689" s="106"/>
      <c r="B689" s="104" t="s">
        <v>597</v>
      </c>
      <c r="C689" s="105" t="s">
        <v>598</v>
      </c>
      <c r="D689" s="104" t="s">
        <v>6</v>
      </c>
      <c r="E689" s="104">
        <v>3.09</v>
      </c>
      <c r="F689" s="155">
        <v>12.54</v>
      </c>
      <c r="G689" s="107">
        <f>ROUND(E689*F689,2)</f>
        <v>38.75</v>
      </c>
    </row>
    <row r="690" spans="1:7" ht="15.75">
      <c r="A690" s="106"/>
      <c r="B690" s="104" t="s">
        <v>692</v>
      </c>
      <c r="C690" s="105" t="s">
        <v>693</v>
      </c>
      <c r="D690" s="104" t="s">
        <v>6</v>
      </c>
      <c r="E690" s="104">
        <v>0.515</v>
      </c>
      <c r="F690" s="155">
        <v>17.3</v>
      </c>
      <c r="G690" s="107">
        <f>ROUND(E690*F690,2)</f>
        <v>8.91</v>
      </c>
    </row>
    <row r="691" spans="1:7" ht="30">
      <c r="A691" s="106"/>
      <c r="B691" s="104" t="s">
        <v>755</v>
      </c>
      <c r="C691" s="105" t="s">
        <v>756</v>
      </c>
      <c r="D691" s="104" t="s">
        <v>6</v>
      </c>
      <c r="E691" s="104">
        <v>0.515</v>
      </c>
      <c r="F691" s="155">
        <v>17.3</v>
      </c>
      <c r="G691" s="107">
        <f>ROUND(E691*F691,2)</f>
        <v>8.91</v>
      </c>
    </row>
    <row r="692" spans="1:7" ht="15.75">
      <c r="A692" s="106"/>
      <c r="B692" s="104" t="s">
        <v>760</v>
      </c>
      <c r="C692" s="105" t="s">
        <v>761</v>
      </c>
      <c r="D692" s="104" t="s">
        <v>6</v>
      </c>
      <c r="E692" s="104">
        <v>0.805</v>
      </c>
      <c r="F692" s="155">
        <v>0.221</v>
      </c>
      <c r="G692" s="107">
        <f>ROUND(E692*F692,2)</f>
        <v>0.18</v>
      </c>
    </row>
    <row r="693" spans="1:7" ht="15.75">
      <c r="A693" s="106"/>
      <c r="B693" s="104" t="s">
        <v>762</v>
      </c>
      <c r="C693" s="105" t="s">
        <v>763</v>
      </c>
      <c r="D693" s="104" t="s">
        <v>6</v>
      </c>
      <c r="E693" s="104">
        <v>0.345</v>
      </c>
      <c r="F693" s="155">
        <v>1.1619</v>
      </c>
      <c r="G693" s="107">
        <f>ROUND(E693*F693,2)</f>
        <v>0.4</v>
      </c>
    </row>
    <row r="694" spans="1:7" ht="15.75">
      <c r="A694" s="106"/>
      <c r="B694" s="104"/>
      <c r="C694" s="105"/>
      <c r="D694" s="104"/>
      <c r="E694" s="104" t="s">
        <v>7</v>
      </c>
      <c r="F694" s="155"/>
      <c r="G694" s="107">
        <f>ROUND(SUM(G688:G693),2)</f>
        <v>337.15</v>
      </c>
    </row>
    <row r="695" spans="1:7" s="156" customFormat="1" ht="15.75">
      <c r="A695" s="164" t="s">
        <v>162</v>
      </c>
      <c r="B695" s="164"/>
      <c r="C695" s="165" t="s">
        <v>1176</v>
      </c>
      <c r="D695" s="164"/>
      <c r="E695" s="164"/>
      <c r="F695" s="164"/>
      <c r="G695" s="147"/>
    </row>
    <row r="696" spans="1:8" s="177" customFormat="1" ht="45">
      <c r="A696" s="148" t="s">
        <v>1167</v>
      </c>
      <c r="B696" s="148" t="s">
        <v>946</v>
      </c>
      <c r="C696" s="149" t="s">
        <v>947</v>
      </c>
      <c r="D696" s="148" t="s">
        <v>1</v>
      </c>
      <c r="E696" s="148">
        <v>1.94</v>
      </c>
      <c r="F696" s="158">
        <f>ROUND(F697,2)-0.01</f>
        <v>43.910000000000004</v>
      </c>
      <c r="G696" s="297">
        <f>ROUND((E696*F696),2)</f>
        <v>85.19</v>
      </c>
      <c r="H696" s="298">
        <f>1.1*1.1*0.85+1.1*1.1*0.75</f>
        <v>1.9360000000000004</v>
      </c>
    </row>
    <row r="697" spans="1:8" s="121" customFormat="1" ht="45">
      <c r="A697" s="133"/>
      <c r="B697" s="134" t="s">
        <v>946</v>
      </c>
      <c r="C697" s="135" t="s">
        <v>947</v>
      </c>
      <c r="D697" s="134" t="s">
        <v>1</v>
      </c>
      <c r="E697" s="134">
        <v>1</v>
      </c>
      <c r="F697" s="136">
        <f>ROUND(43.91508,2)</f>
        <v>43.92</v>
      </c>
      <c r="G697" s="60">
        <f>ROUND(E697*F697,2)</f>
        <v>43.92</v>
      </c>
      <c r="H697" s="295"/>
    </row>
    <row r="698" spans="1:8" s="121" customFormat="1" ht="30">
      <c r="A698" s="137"/>
      <c r="B698" s="138" t="s">
        <v>597</v>
      </c>
      <c r="C698" s="139" t="s">
        <v>598</v>
      </c>
      <c r="D698" s="138" t="s">
        <v>6</v>
      </c>
      <c r="E698" s="138">
        <v>3.502</v>
      </c>
      <c r="F698" s="143">
        <v>12.54</v>
      </c>
      <c r="G698" s="107">
        <f>ROUND(E698*F698,2)</f>
        <v>43.92</v>
      </c>
      <c r="H698" s="295"/>
    </row>
    <row r="699" spans="1:8" s="121" customFormat="1" ht="23.25">
      <c r="A699" s="137"/>
      <c r="B699" s="138"/>
      <c r="C699" s="139"/>
      <c r="D699" s="138"/>
      <c r="E699" s="138" t="s">
        <v>7</v>
      </c>
      <c r="F699" s="143"/>
      <c r="G699" s="107">
        <f>ROUND(SUM(G698:G698),2)</f>
        <v>43.92</v>
      </c>
      <c r="H699" s="295"/>
    </row>
    <row r="700" spans="1:8" s="177" customFormat="1" ht="30">
      <c r="A700" s="144" t="s">
        <v>1169</v>
      </c>
      <c r="B700" s="145" t="s">
        <v>784</v>
      </c>
      <c r="C700" s="145" t="s">
        <v>785</v>
      </c>
      <c r="D700" s="144" t="s">
        <v>1</v>
      </c>
      <c r="E700" s="144">
        <v>1.57</v>
      </c>
      <c r="F700" s="146">
        <f>ROUND(F701,2)-0.01</f>
        <v>17.139999999999997</v>
      </c>
      <c r="G700" s="28">
        <f>ROUND((E700*F700),2)</f>
        <v>26.91</v>
      </c>
      <c r="H700" s="294"/>
    </row>
    <row r="701" spans="1:7" s="121" customFormat="1" ht="30">
      <c r="A701" s="137"/>
      <c r="B701" s="138" t="s">
        <v>784</v>
      </c>
      <c r="C701" s="139" t="s">
        <v>785</v>
      </c>
      <c r="D701" s="138" t="s">
        <v>1</v>
      </c>
      <c r="E701" s="138">
        <v>1</v>
      </c>
      <c r="F701" s="143">
        <f>G706</f>
        <v>17.15</v>
      </c>
      <c r="G701" s="107">
        <f>ROUND(E701*F701,2)</f>
        <v>17.15</v>
      </c>
    </row>
    <row r="702" spans="1:7" s="121" customFormat="1" ht="30">
      <c r="A702" s="137"/>
      <c r="B702" s="138" t="s">
        <v>597</v>
      </c>
      <c r="C702" s="139" t="s">
        <v>598</v>
      </c>
      <c r="D702" s="138" t="s">
        <v>6</v>
      </c>
      <c r="E702" s="138">
        <v>1.09901</v>
      </c>
      <c r="F702" s="143">
        <v>12.54</v>
      </c>
      <c r="G702" s="107">
        <f>ROUND(E702*F702,2)</f>
        <v>13.78</v>
      </c>
    </row>
    <row r="703" spans="1:7" s="121" customFormat="1" ht="30">
      <c r="A703" s="137"/>
      <c r="B703" s="138" t="s">
        <v>786</v>
      </c>
      <c r="C703" s="139" t="s">
        <v>787</v>
      </c>
      <c r="D703" s="138" t="s">
        <v>6</v>
      </c>
      <c r="E703" s="138">
        <v>0.13699</v>
      </c>
      <c r="F703" s="143">
        <v>19.45</v>
      </c>
      <c r="G703" s="107">
        <f>ROUND(E703*F703,2)</f>
        <v>2.66</v>
      </c>
    </row>
    <row r="704" spans="1:7" s="121" customFormat="1" ht="15.75">
      <c r="A704" s="137"/>
      <c r="B704" s="138" t="s">
        <v>788</v>
      </c>
      <c r="C704" s="139" t="s">
        <v>789</v>
      </c>
      <c r="D704" s="138" t="s">
        <v>6</v>
      </c>
      <c r="E704" s="138">
        <v>0.033</v>
      </c>
      <c r="F704" s="143">
        <v>1.3478</v>
      </c>
      <c r="G704" s="107">
        <f>ROUND(E704*F704,2)</f>
        <v>0.04</v>
      </c>
    </row>
    <row r="705" spans="1:7" s="121" customFormat="1" ht="15.75">
      <c r="A705" s="137"/>
      <c r="B705" s="138" t="s">
        <v>790</v>
      </c>
      <c r="C705" s="139" t="s">
        <v>791</v>
      </c>
      <c r="D705" s="138" t="s">
        <v>6</v>
      </c>
      <c r="E705" s="138">
        <v>0.1</v>
      </c>
      <c r="F705" s="143">
        <v>6.689</v>
      </c>
      <c r="G705" s="107">
        <f>ROUND(E705*F705,2)</f>
        <v>0.67</v>
      </c>
    </row>
    <row r="706" spans="1:7" s="121" customFormat="1" ht="15.75">
      <c r="A706" s="137"/>
      <c r="B706" s="138"/>
      <c r="C706" s="139"/>
      <c r="D706" s="138"/>
      <c r="E706" s="138" t="s">
        <v>7</v>
      </c>
      <c r="F706" s="143"/>
      <c r="G706" s="107">
        <f>ROUND(SUM(G702:G705),2)</f>
        <v>17.15</v>
      </c>
    </row>
    <row r="707" spans="1:7" s="121" customFormat="1" ht="30">
      <c r="A707" s="144" t="s">
        <v>1170</v>
      </c>
      <c r="B707" s="144" t="str">
        <f>B708</f>
        <v>SI000096531</v>
      </c>
      <c r="C707" s="145" t="s">
        <v>1187</v>
      </c>
      <c r="D707" s="144" t="s">
        <v>0</v>
      </c>
      <c r="E707" s="144">
        <v>1.92</v>
      </c>
      <c r="F707" s="146">
        <f>ROUND(F708,2)</f>
        <v>84.82</v>
      </c>
      <c r="G707" s="28">
        <f>ROUND((E707*F707),2)</f>
        <v>162.85</v>
      </c>
    </row>
    <row r="708" spans="1:7" s="121" customFormat="1" ht="30">
      <c r="A708" s="133"/>
      <c r="B708" s="134" t="s">
        <v>1177</v>
      </c>
      <c r="C708" s="135" t="s">
        <v>1168</v>
      </c>
      <c r="D708" s="134" t="s">
        <v>0</v>
      </c>
      <c r="E708" s="311">
        <v>1</v>
      </c>
      <c r="F708" s="136">
        <v>84.82</v>
      </c>
      <c r="G708" s="60">
        <f>ROUND(E708*F708,2)</f>
        <v>84.82</v>
      </c>
    </row>
    <row r="709" spans="1:7" s="121" customFormat="1" ht="15.75">
      <c r="A709" s="130" t="s">
        <v>1171</v>
      </c>
      <c r="B709" s="130" t="str">
        <f>B710</f>
        <v>SI000095241</v>
      </c>
      <c r="C709" s="131" t="s">
        <v>439</v>
      </c>
      <c r="D709" s="130" t="s">
        <v>0</v>
      </c>
      <c r="E709" s="130">
        <v>0.04</v>
      </c>
      <c r="F709" s="225">
        <f>ROUND(F710,2)-0.01</f>
        <v>21.54</v>
      </c>
      <c r="G709" s="35">
        <f>ROUND((E709*F709),2)</f>
        <v>0.86</v>
      </c>
    </row>
    <row r="710" spans="1:7" s="121" customFormat="1" ht="30">
      <c r="A710" s="133"/>
      <c r="B710" s="134" t="s">
        <v>1145</v>
      </c>
      <c r="C710" s="135" t="s">
        <v>1146</v>
      </c>
      <c r="D710" s="134" t="s">
        <v>0</v>
      </c>
      <c r="E710" s="134">
        <v>1</v>
      </c>
      <c r="F710" s="136">
        <f>ROUND(21.549778,2)</f>
        <v>21.55</v>
      </c>
      <c r="G710" s="60">
        <f>ROUND(E710*F710,2)</f>
        <v>21.55</v>
      </c>
    </row>
    <row r="711" spans="1:7" s="121" customFormat="1" ht="15.75">
      <c r="A711" s="137"/>
      <c r="B711" s="138" t="s">
        <v>119</v>
      </c>
      <c r="C711" s="139" t="s">
        <v>120</v>
      </c>
      <c r="D711" s="138" t="s">
        <v>6</v>
      </c>
      <c r="E711" s="138">
        <v>0.0741</v>
      </c>
      <c r="F711" s="143">
        <f>ROUND(19.32,2)</f>
        <v>19.32</v>
      </c>
      <c r="G711" s="107">
        <f>ROUND(E711*F711,2)</f>
        <v>1.43</v>
      </c>
    </row>
    <row r="712" spans="1:7" s="121" customFormat="1" ht="15.75">
      <c r="A712" s="137"/>
      <c r="B712" s="138" t="s">
        <v>121</v>
      </c>
      <c r="C712" s="139" t="s">
        <v>1102</v>
      </c>
      <c r="D712" s="138" t="s">
        <v>6</v>
      </c>
      <c r="E712" s="138">
        <v>0.2718</v>
      </c>
      <c r="F712" s="143">
        <f>ROUND(24.27,2)</f>
        <v>24.27</v>
      </c>
      <c r="G712" s="107">
        <f>ROUND(E712*F712,2)</f>
        <v>6.6</v>
      </c>
    </row>
    <row r="713" spans="1:7" s="121" customFormat="1" ht="30">
      <c r="A713" s="137"/>
      <c r="B713" s="138" t="s">
        <v>1147</v>
      </c>
      <c r="C713" s="139" t="s">
        <v>1148</v>
      </c>
      <c r="D713" s="138" t="s">
        <v>1</v>
      </c>
      <c r="E713" s="138">
        <v>0.0565</v>
      </c>
      <c r="F713" s="143">
        <f>ROUND(239.32,2)</f>
        <v>239.32</v>
      </c>
      <c r="G713" s="107">
        <f>ROUND(E713*F713,2)</f>
        <v>13.52</v>
      </c>
    </row>
    <row r="714" spans="1:7" s="121" customFormat="1" ht="15.75">
      <c r="A714" s="137"/>
      <c r="B714" s="138"/>
      <c r="C714" s="139"/>
      <c r="D714" s="138"/>
      <c r="E714" s="138" t="s">
        <v>7</v>
      </c>
      <c r="F714" s="143"/>
      <c r="G714" s="107">
        <f>ROUND(SUM(G711:G713),2)</f>
        <v>21.55</v>
      </c>
    </row>
    <row r="715" spans="1:7" s="121" customFormat="1" ht="45">
      <c r="A715" s="499" t="s">
        <v>1172</v>
      </c>
      <c r="B715" s="500" t="s">
        <v>1184</v>
      </c>
      <c r="C715" s="501" t="s">
        <v>1211</v>
      </c>
      <c r="D715" s="502" t="s">
        <v>1</v>
      </c>
      <c r="E715" s="502">
        <v>0.29</v>
      </c>
      <c r="F715" s="503">
        <f>ROUND((F716+F717),2)</f>
        <v>506.17</v>
      </c>
      <c r="G715" s="154">
        <f>ROUND((E715*F715),2)</f>
        <v>146.79</v>
      </c>
    </row>
    <row r="716" spans="1:7" s="121" customFormat="1" ht="30">
      <c r="A716" s="137"/>
      <c r="B716" s="138" t="s">
        <v>1180</v>
      </c>
      <c r="C716" s="139" t="s">
        <v>1181</v>
      </c>
      <c r="D716" s="138" t="s">
        <v>1</v>
      </c>
      <c r="E716" s="138"/>
      <c r="F716" s="143">
        <v>308.94</v>
      </c>
      <c r="G716" s="107"/>
    </row>
    <row r="717" spans="1:7" s="121" customFormat="1" ht="30">
      <c r="A717" s="137"/>
      <c r="B717" s="138" t="s">
        <v>1182</v>
      </c>
      <c r="C717" s="139" t="s">
        <v>1183</v>
      </c>
      <c r="D717" s="138" t="s">
        <v>1</v>
      </c>
      <c r="E717" s="138"/>
      <c r="F717" s="143">
        <v>197.23</v>
      </c>
      <c r="G717" s="107"/>
    </row>
    <row r="718" spans="1:7" s="121" customFormat="1" ht="45.75">
      <c r="A718" s="144" t="s">
        <v>1173</v>
      </c>
      <c r="B718" s="144" t="s">
        <v>740</v>
      </c>
      <c r="C718" s="145" t="s">
        <v>515</v>
      </c>
      <c r="D718" s="144" t="s">
        <v>5</v>
      </c>
      <c r="E718" s="144">
        <v>1.26</v>
      </c>
      <c r="F718" s="146">
        <f>ROUND(F719,2)-0.02</f>
        <v>3.97</v>
      </c>
      <c r="G718" s="28">
        <f>ROUND((E718*F718),2)</f>
        <v>5</v>
      </c>
    </row>
    <row r="719" spans="1:7" s="121" customFormat="1" ht="60">
      <c r="A719" s="133"/>
      <c r="B719" s="134" t="s">
        <v>740</v>
      </c>
      <c r="C719" s="135" t="s">
        <v>741</v>
      </c>
      <c r="D719" s="134" t="s">
        <v>5</v>
      </c>
      <c r="E719" s="134">
        <v>1</v>
      </c>
      <c r="F719" s="136">
        <f>G723</f>
        <v>3.99</v>
      </c>
      <c r="G719" s="60">
        <f>ROUND(E719*F719,2)</f>
        <v>3.99</v>
      </c>
    </row>
    <row r="720" spans="1:7" s="121" customFormat="1" ht="15.75">
      <c r="A720" s="137"/>
      <c r="B720" s="138" t="s">
        <v>343</v>
      </c>
      <c r="C720" s="139" t="s">
        <v>742</v>
      </c>
      <c r="D720" s="138" t="s">
        <v>5</v>
      </c>
      <c r="E720" s="138">
        <v>0.55</v>
      </c>
      <c r="F720" s="143">
        <v>3.436</v>
      </c>
      <c r="G720" s="107">
        <f>ROUND(E720*F720,2)</f>
        <v>1.89</v>
      </c>
    </row>
    <row r="721" spans="1:7" s="121" customFormat="1" ht="15.75">
      <c r="A721" s="137"/>
      <c r="B721" s="138" t="s">
        <v>344</v>
      </c>
      <c r="C721" s="139" t="s">
        <v>743</v>
      </c>
      <c r="D721" s="138" t="s">
        <v>5</v>
      </c>
      <c r="E721" s="138">
        <v>0.55</v>
      </c>
      <c r="F721" s="143">
        <v>3.465</v>
      </c>
      <c r="G721" s="107">
        <f>ROUND(E721*F721,2)</f>
        <v>1.91</v>
      </c>
    </row>
    <row r="722" spans="1:7" s="121" customFormat="1" ht="15.75">
      <c r="A722" s="137"/>
      <c r="B722" s="138" t="s">
        <v>25</v>
      </c>
      <c r="C722" s="139" t="s">
        <v>734</v>
      </c>
      <c r="D722" s="138" t="s">
        <v>5</v>
      </c>
      <c r="E722" s="138">
        <v>0.03</v>
      </c>
      <c r="F722" s="143">
        <v>6.4</v>
      </c>
      <c r="G722" s="107">
        <f>ROUND(E722*F722,2)</f>
        <v>0.19</v>
      </c>
    </row>
    <row r="723" spans="1:7" s="121" customFormat="1" ht="15.75">
      <c r="A723" s="137"/>
      <c r="B723" s="138"/>
      <c r="C723" s="139"/>
      <c r="D723" s="138"/>
      <c r="E723" s="138" t="s">
        <v>7</v>
      </c>
      <c r="F723" s="143"/>
      <c r="G723" s="107">
        <f>ROUND(SUM(G720:G722),2)</f>
        <v>3.99</v>
      </c>
    </row>
    <row r="724" spans="1:7" s="121" customFormat="1" ht="15.75">
      <c r="A724" s="144" t="s">
        <v>1174</v>
      </c>
      <c r="B724" s="144" t="str">
        <f>B725</f>
        <v>SI000096543</v>
      </c>
      <c r="C724" s="145" t="s">
        <v>440</v>
      </c>
      <c r="D724" s="144" t="s">
        <v>5</v>
      </c>
      <c r="E724" s="144">
        <f>E718</f>
        <v>1.26</v>
      </c>
      <c r="F724" s="146">
        <f>ROUND(F725,2)-0.01</f>
        <v>14.24</v>
      </c>
      <c r="G724" s="28">
        <f>ROUND((E724*F724),2)</f>
        <v>17.94</v>
      </c>
    </row>
    <row r="725" spans="1:7" s="121" customFormat="1" ht="30">
      <c r="A725" s="133"/>
      <c r="B725" s="134" t="s">
        <v>1178</v>
      </c>
      <c r="C725" s="135" t="s">
        <v>1179</v>
      </c>
      <c r="D725" s="134" t="s">
        <v>5</v>
      </c>
      <c r="E725" s="134">
        <v>1</v>
      </c>
      <c r="F725" s="136">
        <f>ROUND(14.248195,2)</f>
        <v>14.25</v>
      </c>
      <c r="G725" s="60">
        <f>ROUND(E725*F725,2)</f>
        <v>14.25</v>
      </c>
    </row>
    <row r="726" spans="1:8" s="121" customFormat="1" ht="45.75">
      <c r="A726" s="144" t="s">
        <v>1175</v>
      </c>
      <c r="B726" s="144" t="s">
        <v>735</v>
      </c>
      <c r="C726" s="145" t="s">
        <v>1162</v>
      </c>
      <c r="D726" s="144" t="s">
        <v>5</v>
      </c>
      <c r="E726" s="279">
        <v>19.71</v>
      </c>
      <c r="F726" s="146">
        <f>ROUND(F727,2)</f>
        <v>3.72</v>
      </c>
      <c r="G726" s="28">
        <f>ROUND((E726*F726),2)</f>
        <v>73.32</v>
      </c>
      <c r="H726" s="121" t="s">
        <v>164</v>
      </c>
    </row>
    <row r="727" spans="1:7" s="121" customFormat="1" ht="60">
      <c r="A727" s="137"/>
      <c r="B727" s="138" t="s">
        <v>735</v>
      </c>
      <c r="C727" s="139" t="s">
        <v>736</v>
      </c>
      <c r="D727" s="138" t="s">
        <v>5</v>
      </c>
      <c r="E727" s="138">
        <v>1</v>
      </c>
      <c r="F727" s="143">
        <f>G732</f>
        <v>3.72</v>
      </c>
      <c r="G727" s="107">
        <f>ROUND(E727*F727,2)</f>
        <v>3.72</v>
      </c>
    </row>
    <row r="728" spans="1:7" s="121" customFormat="1" ht="15.75">
      <c r="A728" s="137"/>
      <c r="B728" s="138" t="s">
        <v>209</v>
      </c>
      <c r="C728" s="139" t="s">
        <v>737</v>
      </c>
      <c r="D728" s="138" t="s">
        <v>5</v>
      </c>
      <c r="E728" s="138">
        <v>0.37</v>
      </c>
      <c r="F728" s="143">
        <v>3.036</v>
      </c>
      <c r="G728" s="107">
        <f>ROUND(E728*F728,2)</f>
        <v>1.12</v>
      </c>
    </row>
    <row r="729" spans="1:7" s="121" customFormat="1" ht="15.75">
      <c r="A729" s="137"/>
      <c r="B729" s="138" t="s">
        <v>210</v>
      </c>
      <c r="C729" s="139" t="s">
        <v>738</v>
      </c>
      <c r="D729" s="138" t="s">
        <v>5</v>
      </c>
      <c r="E729" s="138">
        <v>0.37</v>
      </c>
      <c r="F729" s="143">
        <v>3.277</v>
      </c>
      <c r="G729" s="107">
        <f>ROUND(E729*F729,2)</f>
        <v>1.21</v>
      </c>
    </row>
    <row r="730" spans="1:7" s="121" customFormat="1" ht="15.75">
      <c r="A730" s="137"/>
      <c r="B730" s="138" t="s">
        <v>211</v>
      </c>
      <c r="C730" s="139" t="s">
        <v>739</v>
      </c>
      <c r="D730" s="138" t="s">
        <v>5</v>
      </c>
      <c r="E730" s="138">
        <v>0.37</v>
      </c>
      <c r="F730" s="143">
        <v>3.252</v>
      </c>
      <c r="G730" s="107">
        <f>ROUND(E730*F730,2)</f>
        <v>1.2</v>
      </c>
    </row>
    <row r="731" spans="1:7" s="121" customFormat="1" ht="15.75">
      <c r="A731" s="137"/>
      <c r="B731" s="138" t="s">
        <v>25</v>
      </c>
      <c r="C731" s="139" t="s">
        <v>734</v>
      </c>
      <c r="D731" s="138" t="s">
        <v>5</v>
      </c>
      <c r="E731" s="138">
        <v>0.03</v>
      </c>
      <c r="F731" s="143">
        <v>6.4</v>
      </c>
      <c r="G731" s="107">
        <f>ROUND(E731*F731,2)</f>
        <v>0.19</v>
      </c>
    </row>
    <row r="732" spans="1:7" s="121" customFormat="1" ht="15.75">
      <c r="A732" s="137"/>
      <c r="B732" s="138"/>
      <c r="C732" s="139"/>
      <c r="D732" s="138"/>
      <c r="E732" s="138" t="s">
        <v>7</v>
      </c>
      <c r="F732" s="143"/>
      <c r="G732" s="107">
        <f>ROUND(SUM(G728:G731),2)</f>
        <v>3.72</v>
      </c>
    </row>
    <row r="733" spans="1:7" s="121" customFormat="1" ht="30.75">
      <c r="A733" s="144" t="s">
        <v>1186</v>
      </c>
      <c r="B733" s="144" t="str">
        <f>B734</f>
        <v>SI000096546</v>
      </c>
      <c r="C733" s="145" t="s">
        <v>1163</v>
      </c>
      <c r="D733" s="144" t="s">
        <v>5</v>
      </c>
      <c r="E733" s="279">
        <f>E726</f>
        <v>19.71</v>
      </c>
      <c r="F733" s="146">
        <f>ROUND(F734,2)</f>
        <v>9.18</v>
      </c>
      <c r="G733" s="28">
        <f>ROUND((E733*F733),2)</f>
        <v>180.94</v>
      </c>
    </row>
    <row r="734" spans="1:7" s="121" customFormat="1" ht="30">
      <c r="A734" s="133"/>
      <c r="B734" s="134" t="s">
        <v>1121</v>
      </c>
      <c r="C734" s="135" t="s">
        <v>1122</v>
      </c>
      <c r="D734" s="134" t="s">
        <v>5</v>
      </c>
      <c r="E734" s="134">
        <v>1</v>
      </c>
      <c r="F734" s="136">
        <v>9.18</v>
      </c>
      <c r="G734" s="60">
        <f>ROUND(E734*F734,2)</f>
        <v>9.18</v>
      </c>
    </row>
    <row r="735" spans="1:7" s="177" customFormat="1" ht="60">
      <c r="A735" s="65" t="s">
        <v>1535</v>
      </c>
      <c r="B735" s="148" t="s">
        <v>1497</v>
      </c>
      <c r="C735" s="149" t="s">
        <v>1498</v>
      </c>
      <c r="D735" s="148" t="s">
        <v>3</v>
      </c>
      <c r="E735" s="271">
        <f>9*8</f>
        <v>72</v>
      </c>
      <c r="F735" s="158">
        <f>ROUND(F736,2)-0.25</f>
        <v>238.87</v>
      </c>
      <c r="G735" s="53">
        <f>ROUND((E735*F735),2)</f>
        <v>17198.64</v>
      </c>
    </row>
    <row r="736" spans="1:7" s="121" customFormat="1" ht="60">
      <c r="A736" s="505"/>
      <c r="B736" s="134" t="s">
        <v>1497</v>
      </c>
      <c r="C736" s="135" t="s">
        <v>1498</v>
      </c>
      <c r="D736" s="134" t="s">
        <v>3</v>
      </c>
      <c r="E736" s="134">
        <v>1</v>
      </c>
      <c r="F736" s="136">
        <f>G749</f>
        <v>239.12</v>
      </c>
      <c r="G736" s="60">
        <f>ROUND(E736*F736,2)</f>
        <v>239.12</v>
      </c>
    </row>
    <row r="737" spans="1:7" s="121" customFormat="1" ht="15.75">
      <c r="A737" s="506"/>
      <c r="B737" s="138" t="s">
        <v>1499</v>
      </c>
      <c r="C737" s="139" t="s">
        <v>1500</v>
      </c>
      <c r="D737" s="138" t="s">
        <v>5</v>
      </c>
      <c r="E737" s="138">
        <v>0.06</v>
      </c>
      <c r="F737" s="138">
        <f>ROUND(16.83,2)</f>
        <v>16.83</v>
      </c>
      <c r="G737" s="107">
        <f>ROUND(E737*F737,2)</f>
        <v>1.01</v>
      </c>
    </row>
    <row r="738" spans="1:7" s="121" customFormat="1" ht="30">
      <c r="A738" s="506"/>
      <c r="B738" s="138" t="s">
        <v>1501</v>
      </c>
      <c r="C738" s="139" t="s">
        <v>1502</v>
      </c>
      <c r="D738" s="138" t="s">
        <v>1</v>
      </c>
      <c r="E738" s="138">
        <v>0.17</v>
      </c>
      <c r="F738" s="138">
        <f>ROUND(319.93,2)</f>
        <v>319.93</v>
      </c>
      <c r="G738" s="107">
        <f>ROUND(E738*F738,2)</f>
        <v>54.39</v>
      </c>
    </row>
    <row r="739" spans="1:7" s="121" customFormat="1" ht="30">
      <c r="A739" s="506"/>
      <c r="B739" s="138" t="s">
        <v>1503</v>
      </c>
      <c r="C739" s="139" t="s">
        <v>1504</v>
      </c>
      <c r="D739" s="138" t="s">
        <v>6</v>
      </c>
      <c r="E739" s="138">
        <v>0.2163</v>
      </c>
      <c r="F739" s="138">
        <f>ROUND(18.63,2)</f>
        <v>18.63</v>
      </c>
      <c r="G739" s="107">
        <f>ROUND(E739*F739,2)</f>
        <v>4.03</v>
      </c>
    </row>
    <row r="740" spans="1:7" s="121" customFormat="1" ht="30">
      <c r="A740" s="506"/>
      <c r="B740" s="138" t="s">
        <v>597</v>
      </c>
      <c r="C740" s="139" t="s">
        <v>598</v>
      </c>
      <c r="D740" s="138" t="s">
        <v>6</v>
      </c>
      <c r="E740" s="138">
        <v>0.4326</v>
      </c>
      <c r="F740" s="138">
        <f>ROUND(12.54,2)</f>
        <v>12.54</v>
      </c>
      <c r="G740" s="107">
        <f>ROUND(E740*F740,2)</f>
        <v>5.42</v>
      </c>
    </row>
    <row r="741" spans="1:7" s="121" customFormat="1" ht="15.75">
      <c r="A741" s="506"/>
      <c r="B741" s="138" t="s">
        <v>1505</v>
      </c>
      <c r="C741" s="139" t="s">
        <v>1506</v>
      </c>
      <c r="D741" s="138" t="s">
        <v>6</v>
      </c>
      <c r="E741" s="138">
        <v>0.25</v>
      </c>
      <c r="F741" s="138">
        <f>ROUND(17.6246,2)</f>
        <v>17.62</v>
      </c>
      <c r="G741" s="107">
        <f>ROUND(E741*F741,2)</f>
        <v>4.41</v>
      </c>
    </row>
    <row r="742" spans="1:7" s="121" customFormat="1" ht="15.75">
      <c r="A742" s="506"/>
      <c r="B742" s="138" t="s">
        <v>1507</v>
      </c>
      <c r="C742" s="139" t="s">
        <v>1508</v>
      </c>
      <c r="D742" s="138" t="s">
        <v>6</v>
      </c>
      <c r="E742" s="138">
        <v>0.18</v>
      </c>
      <c r="F742" s="138">
        <f>ROUND(311.8146,2)</f>
        <v>311.81</v>
      </c>
      <c r="G742" s="107">
        <f>ROUND(E742*F742,2)</f>
        <v>56.13</v>
      </c>
    </row>
    <row r="743" spans="1:7" s="121" customFormat="1" ht="15.75">
      <c r="A743" s="506"/>
      <c r="B743" s="138" t="s">
        <v>782</v>
      </c>
      <c r="C743" s="139" t="s">
        <v>783</v>
      </c>
      <c r="D743" s="138" t="s">
        <v>6</v>
      </c>
      <c r="E743" s="138">
        <v>0.06</v>
      </c>
      <c r="F743" s="138">
        <f>ROUND(112.922,2)</f>
        <v>112.92</v>
      </c>
      <c r="G743" s="107">
        <f>ROUND(E743*F743,2)</f>
        <v>6.78</v>
      </c>
    </row>
    <row r="744" spans="1:7" s="121" customFormat="1" ht="15.75">
      <c r="A744" s="506"/>
      <c r="B744" s="138" t="s">
        <v>1509</v>
      </c>
      <c r="C744" s="139" t="s">
        <v>1510</v>
      </c>
      <c r="D744" s="138" t="s">
        <v>6</v>
      </c>
      <c r="E744" s="138">
        <v>0.05</v>
      </c>
      <c r="F744" s="138">
        <f>ROUND(123.289,2)</f>
        <v>123.29</v>
      </c>
      <c r="G744" s="107">
        <f>ROUND(E744*F744,2)</f>
        <v>6.16</v>
      </c>
    </row>
    <row r="745" spans="1:7" s="121" customFormat="1" ht="15.75">
      <c r="A745" s="506"/>
      <c r="B745" s="138" t="s">
        <v>1511</v>
      </c>
      <c r="C745" s="139" t="s">
        <v>1512</v>
      </c>
      <c r="D745" s="138" t="s">
        <v>5</v>
      </c>
      <c r="E745" s="138">
        <v>14.09</v>
      </c>
      <c r="F745" s="138">
        <f>ROUND(2.7661,2)</f>
        <v>2.77</v>
      </c>
      <c r="G745" s="107">
        <f>ROUND(E745*F745,2)</f>
        <v>39.03</v>
      </c>
    </row>
    <row r="746" spans="1:7" s="121" customFormat="1" ht="15.75">
      <c r="A746" s="506"/>
      <c r="B746" s="138" t="s">
        <v>1513</v>
      </c>
      <c r="C746" s="139" t="s">
        <v>1514</v>
      </c>
      <c r="D746" s="138" t="s">
        <v>5</v>
      </c>
      <c r="E746" s="138">
        <v>2.07</v>
      </c>
      <c r="F746" s="138">
        <f>ROUND(3.6881,2)</f>
        <v>3.69</v>
      </c>
      <c r="G746" s="107">
        <f>ROUND(E746*F746,2)</f>
        <v>7.64</v>
      </c>
    </row>
    <row r="747" spans="1:7" s="121" customFormat="1" ht="15.75">
      <c r="A747" s="506"/>
      <c r="B747" s="138" t="s">
        <v>1515</v>
      </c>
      <c r="C747" s="139" t="s">
        <v>1516</v>
      </c>
      <c r="D747" s="138" t="s">
        <v>5</v>
      </c>
      <c r="E747" s="138">
        <v>14.09</v>
      </c>
      <c r="F747" s="138">
        <f>ROUND(3.1932,2)</f>
        <v>3.19</v>
      </c>
      <c r="G747" s="107">
        <f>ROUND(E747*F747,2)</f>
        <v>44.95</v>
      </c>
    </row>
    <row r="748" spans="1:7" s="121" customFormat="1" ht="15.75">
      <c r="A748" s="506"/>
      <c r="B748" s="138" t="s">
        <v>1517</v>
      </c>
      <c r="C748" s="139" t="s">
        <v>1518</v>
      </c>
      <c r="D748" s="138" t="s">
        <v>5</v>
      </c>
      <c r="E748" s="138">
        <v>2.07</v>
      </c>
      <c r="F748" s="138">
        <f>ROUND(4.4347,2)</f>
        <v>4.43</v>
      </c>
      <c r="G748" s="107">
        <f>ROUND(E748*F748,2)</f>
        <v>9.17</v>
      </c>
    </row>
    <row r="749" spans="1:7" s="121" customFormat="1" ht="15.75">
      <c r="A749" s="506"/>
      <c r="B749" s="138"/>
      <c r="C749" s="139"/>
      <c r="D749" s="138"/>
      <c r="E749" s="138" t="s">
        <v>7</v>
      </c>
      <c r="F749" s="138"/>
      <c r="G749" s="107">
        <f>ROUND(SUM(G737:G748),2)</f>
        <v>239.12</v>
      </c>
    </row>
    <row r="750" spans="1:7" s="177" customFormat="1" ht="45">
      <c r="A750" s="509" t="s">
        <v>1536</v>
      </c>
      <c r="B750" s="130" t="s">
        <v>1519</v>
      </c>
      <c r="C750" s="131" t="s">
        <v>1520</v>
      </c>
      <c r="D750" s="130" t="s">
        <v>14</v>
      </c>
      <c r="E750" s="130">
        <v>1</v>
      </c>
      <c r="F750" s="225">
        <f>ROUND(F751,2)-0.45</f>
        <v>8249.439999999999</v>
      </c>
      <c r="G750" s="35">
        <f>ROUND((E750*F750),2)</f>
        <v>8249.44</v>
      </c>
    </row>
    <row r="751" spans="1:7" s="132" customFormat="1" ht="45">
      <c r="A751" s="505"/>
      <c r="B751" s="134" t="s">
        <v>1519</v>
      </c>
      <c r="C751" s="135" t="s">
        <v>1520</v>
      </c>
      <c r="D751" s="134" t="s">
        <v>14</v>
      </c>
      <c r="E751" s="134">
        <v>1</v>
      </c>
      <c r="F751" s="136">
        <f>G760</f>
        <v>8249.89</v>
      </c>
      <c r="G751" s="60">
        <f>ROUND(E751*F751,2)</f>
        <v>8249.89</v>
      </c>
    </row>
    <row r="752" spans="1:7" s="132" customFormat="1" ht="30">
      <c r="A752" s="506"/>
      <c r="B752" s="138" t="s">
        <v>1521</v>
      </c>
      <c r="C752" s="139" t="s">
        <v>1522</v>
      </c>
      <c r="D752" s="138" t="s">
        <v>6</v>
      </c>
      <c r="E752" s="138">
        <v>26.8</v>
      </c>
      <c r="F752" s="143">
        <f>ROUND(28.81,2)</f>
        <v>28.81</v>
      </c>
      <c r="G752" s="107">
        <f>ROUND(E752*F752,2)</f>
        <v>772.11</v>
      </c>
    </row>
    <row r="753" spans="1:7" s="132" customFormat="1" ht="30">
      <c r="A753" s="506"/>
      <c r="B753" s="138" t="s">
        <v>1523</v>
      </c>
      <c r="C753" s="139" t="s">
        <v>1524</v>
      </c>
      <c r="D753" s="138" t="s">
        <v>6</v>
      </c>
      <c r="E753" s="138">
        <v>107.2</v>
      </c>
      <c r="F753" s="143">
        <f>ROUND(17.3,2)</f>
        <v>17.3</v>
      </c>
      <c r="G753" s="107">
        <f>ROUND(E753*F753,2)</f>
        <v>1854.56</v>
      </c>
    </row>
    <row r="754" spans="1:7" s="132" customFormat="1" ht="30">
      <c r="A754" s="506"/>
      <c r="B754" s="138" t="s">
        <v>1525</v>
      </c>
      <c r="C754" s="139" t="s">
        <v>1526</v>
      </c>
      <c r="D754" s="138" t="s">
        <v>6</v>
      </c>
      <c r="E754" s="138">
        <v>53.6</v>
      </c>
      <c r="F754" s="143">
        <f>ROUND(18.63,2)</f>
        <v>18.63</v>
      </c>
      <c r="G754" s="107">
        <f>ROUND(E754*F754,2)</f>
        <v>998.57</v>
      </c>
    </row>
    <row r="755" spans="1:7" s="132" customFormat="1" ht="30">
      <c r="A755" s="506"/>
      <c r="B755" s="138" t="s">
        <v>597</v>
      </c>
      <c r="C755" s="139" t="s">
        <v>598</v>
      </c>
      <c r="D755" s="138" t="s">
        <v>6</v>
      </c>
      <c r="E755" s="138">
        <v>214.4</v>
      </c>
      <c r="F755" s="143">
        <f>ROUND(12.54,2)</f>
        <v>12.54</v>
      </c>
      <c r="G755" s="107">
        <f>ROUND(E755*F755,2)</f>
        <v>2688.58</v>
      </c>
    </row>
    <row r="756" spans="1:7" s="132" customFormat="1" ht="15.75">
      <c r="A756" s="506"/>
      <c r="B756" s="138" t="s">
        <v>1527</v>
      </c>
      <c r="C756" s="139" t="s">
        <v>1528</v>
      </c>
      <c r="D756" s="138" t="s">
        <v>14</v>
      </c>
      <c r="E756" s="138">
        <v>0.001375</v>
      </c>
      <c r="F756" s="143">
        <f>ROUND(140000,2)</f>
        <v>140000</v>
      </c>
      <c r="G756" s="107">
        <f>ROUND(E756*F756,2)</f>
        <v>192.5</v>
      </c>
    </row>
    <row r="757" spans="1:7" s="132" customFormat="1" ht="15.75">
      <c r="A757" s="506"/>
      <c r="B757" s="138" t="s">
        <v>1529</v>
      </c>
      <c r="C757" s="139" t="s">
        <v>1530</v>
      </c>
      <c r="D757" s="138" t="s">
        <v>14</v>
      </c>
      <c r="E757" s="138">
        <v>0.000385</v>
      </c>
      <c r="F757" s="143">
        <f>ROUND(4500,2)</f>
        <v>4500</v>
      </c>
      <c r="G757" s="107">
        <f>ROUND(E757*F757,2)</f>
        <v>1.73</v>
      </c>
    </row>
    <row r="758" spans="1:7" s="132" customFormat="1" ht="15.75">
      <c r="A758" s="506"/>
      <c r="B758" s="138" t="s">
        <v>1531</v>
      </c>
      <c r="C758" s="139" t="s">
        <v>1532</v>
      </c>
      <c r="D758" s="138" t="s">
        <v>6</v>
      </c>
      <c r="E758" s="138">
        <v>40</v>
      </c>
      <c r="F758" s="143">
        <f>ROUND(39.8692,2)</f>
        <v>39.87</v>
      </c>
      <c r="G758" s="107">
        <f>ROUND(E758*F758,2)</f>
        <v>1594.8</v>
      </c>
    </row>
    <row r="759" spans="1:7" s="132" customFormat="1" ht="15.75">
      <c r="A759" s="506"/>
      <c r="B759" s="138" t="s">
        <v>1533</v>
      </c>
      <c r="C759" s="139" t="s">
        <v>1534</v>
      </c>
      <c r="D759" s="138" t="s">
        <v>6</v>
      </c>
      <c r="E759" s="138">
        <v>1.25</v>
      </c>
      <c r="F759" s="143">
        <f>ROUND(117.6276,2)</f>
        <v>117.63</v>
      </c>
      <c r="G759" s="107">
        <f>ROUND(E759*F759,2)</f>
        <v>147.04</v>
      </c>
    </row>
    <row r="760" spans="1:7" s="132" customFormat="1" ht="15.75">
      <c r="A760" s="507"/>
      <c r="B760" s="141"/>
      <c r="C760" s="142"/>
      <c r="D760" s="141"/>
      <c r="E760" s="141" t="s">
        <v>7</v>
      </c>
      <c r="F760" s="508"/>
      <c r="G760" s="64">
        <f>ROUND(SUM(G752:G759),2)</f>
        <v>8249.89</v>
      </c>
    </row>
    <row r="761" spans="1:7" s="172" customFormat="1" ht="15.75">
      <c r="A761" s="170" t="s">
        <v>162</v>
      </c>
      <c r="B761" s="170"/>
      <c r="C761" s="171"/>
      <c r="D761" s="170"/>
      <c r="E761" s="170"/>
      <c r="F761" s="170" t="s">
        <v>250</v>
      </c>
      <c r="G761" s="169">
        <f>G219+G223+G229+G234+G242+G249+G258+G265+G272+G285+G291+G299+G305+G313+G320+G328+G335+G344+G354+G363+G369+G377+G384+G393+G403+G406+G412+G420+G427+G436+G444+G456+G466+G473+G480+G485+G490+G496+G503+G508+G517+G525+G530+G536+G541+G547+G553+G561+G567+G576+G593+G600+G605+G612+G622+G639+G653+G664+G672+G677+G686+G696+G700+G707+G709+G715+G718+G724+G726+G733+G735+G750</f>
        <v>173067.66000000003</v>
      </c>
    </row>
    <row r="762" spans="1:7" s="117" customFormat="1" ht="15.75">
      <c r="A762" s="122" t="s">
        <v>35</v>
      </c>
      <c r="B762" s="122"/>
      <c r="C762" s="123" t="s">
        <v>460</v>
      </c>
      <c r="D762" s="122"/>
      <c r="E762" s="122"/>
      <c r="F762" s="122"/>
      <c r="G762" s="122"/>
    </row>
    <row r="763" spans="1:7" ht="46.5">
      <c r="A763" s="26" t="s">
        <v>257</v>
      </c>
      <c r="B763" s="26" t="s">
        <v>1202</v>
      </c>
      <c r="C763" s="27" t="s">
        <v>584</v>
      </c>
      <c r="D763" s="26" t="s">
        <v>0</v>
      </c>
      <c r="E763" s="223">
        <v>81.5</v>
      </c>
      <c r="F763" s="120">
        <f>ROUND(F764,2)-0.04</f>
        <v>127.47</v>
      </c>
      <c r="G763" s="28">
        <f>ROUND((E763*F763),2)</f>
        <v>10388.81</v>
      </c>
    </row>
    <row r="764" spans="1:7" ht="30">
      <c r="A764" s="106"/>
      <c r="B764" s="104" t="s">
        <v>895</v>
      </c>
      <c r="C764" s="105" t="s">
        <v>884</v>
      </c>
      <c r="D764" s="104" t="s">
        <v>0</v>
      </c>
      <c r="E764" s="104">
        <v>1</v>
      </c>
      <c r="F764" s="155">
        <f>G773</f>
        <v>127.51</v>
      </c>
      <c r="G764" s="107">
        <f>ROUND(E764*F764,2)</f>
        <v>127.51</v>
      </c>
    </row>
    <row r="765" spans="1:7" s="253" customFormat="1" ht="20.25">
      <c r="A765" s="160"/>
      <c r="B765" s="161" t="s">
        <v>417</v>
      </c>
      <c r="C765" s="162" t="s">
        <v>461</v>
      </c>
      <c r="D765" s="161" t="s">
        <v>0</v>
      </c>
      <c r="E765" s="161">
        <v>1.05</v>
      </c>
      <c r="F765" s="290">
        <f>'COTAÇÕES DE MERCADO'!F4:G4</f>
        <v>72.89473684210526</v>
      </c>
      <c r="G765" s="115">
        <f>ROUND(E765*F765,2)</f>
        <v>76.54</v>
      </c>
    </row>
    <row r="766" spans="1:7" s="117" customFormat="1" ht="15.75">
      <c r="A766" s="129"/>
      <c r="B766" s="112" t="s">
        <v>885</v>
      </c>
      <c r="C766" s="118" t="s">
        <v>886</v>
      </c>
      <c r="D766" s="112" t="s">
        <v>0</v>
      </c>
      <c r="E766" s="112">
        <v>0</v>
      </c>
      <c r="F766" s="112">
        <v>36.33</v>
      </c>
      <c r="G766" s="115">
        <f>ROUND(E766*F766,2)</f>
        <v>0</v>
      </c>
    </row>
    <row r="767" spans="1:7" ht="15.75">
      <c r="A767" s="106"/>
      <c r="B767" s="104" t="s">
        <v>124</v>
      </c>
      <c r="C767" s="105" t="s">
        <v>887</v>
      </c>
      <c r="D767" s="104" t="s">
        <v>5</v>
      </c>
      <c r="E767" s="104">
        <v>0.1</v>
      </c>
      <c r="F767" s="104">
        <v>34</v>
      </c>
      <c r="G767" s="107">
        <f>ROUND(E767*F767,2)</f>
        <v>3.4</v>
      </c>
    </row>
    <row r="768" spans="1:7" ht="15.75">
      <c r="A768" s="106"/>
      <c r="B768" s="104" t="s">
        <v>125</v>
      </c>
      <c r="C768" s="105" t="s">
        <v>888</v>
      </c>
      <c r="D768" s="104" t="s">
        <v>5</v>
      </c>
      <c r="E768" s="104">
        <v>0.1</v>
      </c>
      <c r="F768" s="104">
        <v>1.84</v>
      </c>
      <c r="G768" s="107">
        <f>ROUND(E768*F768,2)</f>
        <v>0.18</v>
      </c>
    </row>
    <row r="769" spans="1:7" ht="30">
      <c r="A769" s="106"/>
      <c r="B769" s="104" t="s">
        <v>597</v>
      </c>
      <c r="C769" s="105" t="s">
        <v>598</v>
      </c>
      <c r="D769" s="104" t="s">
        <v>6</v>
      </c>
      <c r="E769" s="104">
        <v>1.1330000000000002</v>
      </c>
      <c r="F769" s="104">
        <v>12.54</v>
      </c>
      <c r="G769" s="107">
        <f>ROUND(E769*F769,2)</f>
        <v>14.21</v>
      </c>
    </row>
    <row r="770" spans="1:7" ht="15.75">
      <c r="A770" s="106"/>
      <c r="B770" s="104" t="s">
        <v>889</v>
      </c>
      <c r="C770" s="105" t="s">
        <v>890</v>
      </c>
      <c r="D770" s="104" t="s">
        <v>6</v>
      </c>
      <c r="E770" s="104">
        <v>1.1330000000000002</v>
      </c>
      <c r="F770" s="104">
        <f>ROUND(18.63,2)</f>
        <v>18.63</v>
      </c>
      <c r="G770" s="107">
        <f>ROUND(E770*F770,2)</f>
        <v>21.11</v>
      </c>
    </row>
    <row r="771" spans="1:7" ht="15.75">
      <c r="A771" s="106"/>
      <c r="B771" s="104" t="s">
        <v>891</v>
      </c>
      <c r="C771" s="105" t="s">
        <v>892</v>
      </c>
      <c r="D771" s="104" t="s">
        <v>1</v>
      </c>
      <c r="E771" s="104">
        <v>0.035</v>
      </c>
      <c r="F771" s="104">
        <v>313.4467</v>
      </c>
      <c r="G771" s="107">
        <f>ROUND(E771*F771,2)</f>
        <v>10.97</v>
      </c>
    </row>
    <row r="772" spans="1:7" ht="15.75">
      <c r="A772" s="106"/>
      <c r="B772" s="104" t="s">
        <v>893</v>
      </c>
      <c r="C772" s="105" t="s">
        <v>894</v>
      </c>
      <c r="D772" s="104" t="s">
        <v>1</v>
      </c>
      <c r="E772" s="104">
        <v>0.002</v>
      </c>
      <c r="F772" s="104">
        <v>549.9958</v>
      </c>
      <c r="G772" s="107">
        <f>ROUND(E772*F772,2)</f>
        <v>1.1</v>
      </c>
    </row>
    <row r="773" spans="1:7" ht="15.75">
      <c r="A773" s="106"/>
      <c r="B773" s="104"/>
      <c r="C773" s="105"/>
      <c r="D773" s="104"/>
      <c r="E773" s="104" t="s">
        <v>7</v>
      </c>
      <c r="F773" s="104"/>
      <c r="G773" s="107">
        <f>ROUND(SUM(G765:G772),2)</f>
        <v>127.51</v>
      </c>
    </row>
    <row r="774" spans="1:7" ht="60">
      <c r="A774" s="54" t="s">
        <v>258</v>
      </c>
      <c r="B774" s="54" t="s">
        <v>1203</v>
      </c>
      <c r="C774" s="56" t="s">
        <v>585</v>
      </c>
      <c r="D774" s="54" t="s">
        <v>0</v>
      </c>
      <c r="E774" s="54">
        <v>16.11</v>
      </c>
      <c r="F774" s="119">
        <f>ROUND(F775,2)-0.04</f>
        <v>127.47</v>
      </c>
      <c r="G774" s="35">
        <f>ROUND((E774*F774),2)</f>
        <v>2053.54</v>
      </c>
    </row>
    <row r="775" spans="1:7" ht="30">
      <c r="A775" s="57"/>
      <c r="B775" s="58" t="s">
        <v>896</v>
      </c>
      <c r="C775" s="59" t="s">
        <v>897</v>
      </c>
      <c r="D775" s="58" t="s">
        <v>0</v>
      </c>
      <c r="E775" s="58">
        <v>1</v>
      </c>
      <c r="F775" s="114">
        <f>G783</f>
        <v>127.51</v>
      </c>
      <c r="G775" s="60">
        <f>ROUND(E775*F775,2)</f>
        <v>127.51</v>
      </c>
    </row>
    <row r="776" spans="1:7" s="156" customFormat="1" ht="31.5">
      <c r="A776" s="160"/>
      <c r="B776" s="161" t="s">
        <v>417</v>
      </c>
      <c r="C776" s="162" t="s">
        <v>463</v>
      </c>
      <c r="D776" s="161" t="s">
        <v>0</v>
      </c>
      <c r="E776" s="161">
        <v>1.05</v>
      </c>
      <c r="F776" s="291">
        <f>'COTAÇÕES DE MERCADO'!F11:G11</f>
        <v>72.89473684210526</v>
      </c>
      <c r="G776" s="115">
        <f>ROUND(E776*F776,2)</f>
        <v>76.54</v>
      </c>
    </row>
    <row r="777" spans="1:7" ht="15.75">
      <c r="A777" s="106"/>
      <c r="B777" s="104" t="s">
        <v>124</v>
      </c>
      <c r="C777" s="105" t="s">
        <v>887</v>
      </c>
      <c r="D777" s="104" t="s">
        <v>5</v>
      </c>
      <c r="E777" s="104">
        <v>0.1</v>
      </c>
      <c r="F777" s="104">
        <v>34</v>
      </c>
      <c r="G777" s="107">
        <f>ROUND(E777*F777,2)</f>
        <v>3.4</v>
      </c>
    </row>
    <row r="778" spans="1:7" ht="15.75">
      <c r="A778" s="106"/>
      <c r="B778" s="104" t="s">
        <v>125</v>
      </c>
      <c r="C778" s="105" t="s">
        <v>888</v>
      </c>
      <c r="D778" s="104" t="s">
        <v>5</v>
      </c>
      <c r="E778" s="104">
        <v>0.1</v>
      </c>
      <c r="F778" s="104">
        <v>1.84</v>
      </c>
      <c r="G778" s="107">
        <f>ROUND(E778*F778,2)</f>
        <v>0.18</v>
      </c>
    </row>
    <row r="779" spans="1:7" ht="30">
      <c r="A779" s="106"/>
      <c r="B779" s="104" t="s">
        <v>597</v>
      </c>
      <c r="C779" s="105" t="s">
        <v>598</v>
      </c>
      <c r="D779" s="104" t="s">
        <v>6</v>
      </c>
      <c r="E779" s="104">
        <v>1.1330000000000002</v>
      </c>
      <c r="F779" s="104">
        <v>12.54</v>
      </c>
      <c r="G779" s="107">
        <f>ROUND(E779*F779,2)</f>
        <v>14.21</v>
      </c>
    </row>
    <row r="780" spans="1:7" ht="15.75">
      <c r="A780" s="106"/>
      <c r="B780" s="104" t="s">
        <v>889</v>
      </c>
      <c r="C780" s="105" t="s">
        <v>890</v>
      </c>
      <c r="D780" s="104" t="s">
        <v>6</v>
      </c>
      <c r="E780" s="104">
        <v>1.1330000000000002</v>
      </c>
      <c r="F780" s="104">
        <v>18.63</v>
      </c>
      <c r="G780" s="107">
        <f>ROUND(E780*F780,2)</f>
        <v>21.11</v>
      </c>
    </row>
    <row r="781" spans="1:7" ht="15.75">
      <c r="A781" s="106"/>
      <c r="B781" s="104" t="s">
        <v>891</v>
      </c>
      <c r="C781" s="105" t="s">
        <v>892</v>
      </c>
      <c r="D781" s="104" t="s">
        <v>1</v>
      </c>
      <c r="E781" s="104">
        <v>0.035</v>
      </c>
      <c r="F781" s="104">
        <v>313.4467</v>
      </c>
      <c r="G781" s="107">
        <f>ROUND(E781*F781,2)</f>
        <v>10.97</v>
      </c>
    </row>
    <row r="782" spans="1:7" ht="15.75">
      <c r="A782" s="106"/>
      <c r="B782" s="104" t="s">
        <v>893</v>
      </c>
      <c r="C782" s="105" t="s">
        <v>894</v>
      </c>
      <c r="D782" s="104" t="s">
        <v>1</v>
      </c>
      <c r="E782" s="104">
        <v>0.002</v>
      </c>
      <c r="F782" s="104">
        <v>549.9958</v>
      </c>
      <c r="G782" s="107">
        <f>ROUND(E782*F782,2)</f>
        <v>1.1</v>
      </c>
    </row>
    <row r="783" spans="1:7" ht="15.75">
      <c r="A783" s="61"/>
      <c r="B783" s="62"/>
      <c r="C783" s="63"/>
      <c r="D783" s="62"/>
      <c r="E783" s="62" t="s">
        <v>7</v>
      </c>
      <c r="F783" s="175"/>
      <c r="G783" s="64">
        <f>ROUND(SUM(G776:G782),2)</f>
        <v>127.51</v>
      </c>
    </row>
    <row r="784" spans="1:7" ht="45">
      <c r="A784" s="108" t="s">
        <v>259</v>
      </c>
      <c r="B784" s="108" t="s">
        <v>898</v>
      </c>
      <c r="C784" s="109" t="s">
        <v>528</v>
      </c>
      <c r="D784" s="108" t="s">
        <v>0</v>
      </c>
      <c r="E784" s="108">
        <v>4.33</v>
      </c>
      <c r="F784" s="116">
        <f>ROUND(F785,2)-0.02</f>
        <v>34.13999999999999</v>
      </c>
      <c r="G784" s="53">
        <f>ROUND((E784*F784),2)</f>
        <v>147.83</v>
      </c>
    </row>
    <row r="785" spans="1:7" ht="60">
      <c r="A785" s="57"/>
      <c r="B785" s="58" t="s">
        <v>898</v>
      </c>
      <c r="C785" s="59" t="s">
        <v>899</v>
      </c>
      <c r="D785" s="58" t="s">
        <v>0</v>
      </c>
      <c r="E785" s="58">
        <v>1</v>
      </c>
      <c r="F785" s="114">
        <f>G791</f>
        <v>34.16</v>
      </c>
      <c r="G785" s="60">
        <f>ROUND(E785*F785,2)</f>
        <v>34.16</v>
      </c>
    </row>
    <row r="786" spans="1:7" ht="15.75">
      <c r="A786" s="106"/>
      <c r="B786" s="104" t="s">
        <v>139</v>
      </c>
      <c r="C786" s="105" t="s">
        <v>900</v>
      </c>
      <c r="D786" s="104" t="s">
        <v>14</v>
      </c>
      <c r="E786" s="104">
        <v>17</v>
      </c>
      <c r="F786" s="104">
        <v>0.7</v>
      </c>
      <c r="G786" s="107">
        <f>ROUND(E786*F786,2)</f>
        <v>11.9</v>
      </c>
    </row>
    <row r="787" spans="1:7" ht="15.75">
      <c r="A787" s="106"/>
      <c r="B787" s="104" t="s">
        <v>84</v>
      </c>
      <c r="C787" s="105" t="s">
        <v>689</v>
      </c>
      <c r="D787" s="104" t="s">
        <v>14</v>
      </c>
      <c r="E787" s="104">
        <v>1</v>
      </c>
      <c r="F787" s="104">
        <v>0.49</v>
      </c>
      <c r="G787" s="107">
        <f>ROUND(E787*F787,2)</f>
        <v>0.49</v>
      </c>
    </row>
    <row r="788" spans="1:7" ht="30">
      <c r="A788" s="106"/>
      <c r="B788" s="104" t="s">
        <v>597</v>
      </c>
      <c r="C788" s="105" t="s">
        <v>598</v>
      </c>
      <c r="D788" s="104" t="s">
        <v>6</v>
      </c>
      <c r="E788" s="104">
        <v>0.41200000000000003</v>
      </c>
      <c r="F788" s="104">
        <v>12.54</v>
      </c>
      <c r="G788" s="107">
        <f>ROUND(E788*F788,2)</f>
        <v>5.17</v>
      </c>
    </row>
    <row r="789" spans="1:7" ht="15.75">
      <c r="A789" s="106"/>
      <c r="B789" s="104" t="s">
        <v>692</v>
      </c>
      <c r="C789" s="105" t="s">
        <v>693</v>
      </c>
      <c r="D789" s="104" t="s">
        <v>6</v>
      </c>
      <c r="E789" s="104">
        <v>0.8343</v>
      </c>
      <c r="F789" s="104">
        <v>17.3</v>
      </c>
      <c r="G789" s="107">
        <f>ROUND(E789*F789,2)</f>
        <v>14.43</v>
      </c>
    </row>
    <row r="790" spans="1:7" ht="15.75">
      <c r="A790" s="106"/>
      <c r="B790" s="104" t="s">
        <v>901</v>
      </c>
      <c r="C790" s="105" t="s">
        <v>902</v>
      </c>
      <c r="D790" s="104" t="s">
        <v>1</v>
      </c>
      <c r="E790" s="104">
        <v>0.01</v>
      </c>
      <c r="F790" s="104">
        <v>216.5331</v>
      </c>
      <c r="G790" s="107">
        <f>ROUND(E790*F790,2)</f>
        <v>2.17</v>
      </c>
    </row>
    <row r="791" spans="1:7" ht="15.75">
      <c r="A791" s="106"/>
      <c r="B791" s="104"/>
      <c r="C791" s="105"/>
      <c r="D791" s="104"/>
      <c r="E791" s="104" t="s">
        <v>7</v>
      </c>
      <c r="F791" s="104"/>
      <c r="G791" s="107">
        <f>ROUND(SUM(G786:G790),2)</f>
        <v>34.16</v>
      </c>
    </row>
    <row r="792" spans="1:7" s="132" customFormat="1" ht="45">
      <c r="A792" s="144" t="s">
        <v>260</v>
      </c>
      <c r="B792" s="144" t="s">
        <v>903</v>
      </c>
      <c r="C792" s="145" t="s">
        <v>464</v>
      </c>
      <c r="D792" s="144" t="s">
        <v>0</v>
      </c>
      <c r="E792" s="279">
        <v>81</v>
      </c>
      <c r="F792" s="146">
        <f>ROUND(F793,2)-0.03</f>
        <v>23.81</v>
      </c>
      <c r="G792" s="28">
        <f>ROUND((E792*F792),2)</f>
        <v>1928.61</v>
      </c>
    </row>
    <row r="793" spans="1:7" s="132" customFormat="1" ht="45">
      <c r="A793" s="133"/>
      <c r="B793" s="134" t="s">
        <v>903</v>
      </c>
      <c r="C793" s="135" t="s">
        <v>904</v>
      </c>
      <c r="D793" s="134" t="s">
        <v>0</v>
      </c>
      <c r="E793" s="134">
        <v>1</v>
      </c>
      <c r="F793" s="136">
        <f>G798</f>
        <v>23.84</v>
      </c>
      <c r="G793" s="60">
        <f>ROUND(E793*F793,2)</f>
        <v>23.84</v>
      </c>
    </row>
    <row r="794" spans="1:7" s="132" customFormat="1" ht="30">
      <c r="A794" s="137"/>
      <c r="B794" s="138" t="s">
        <v>597</v>
      </c>
      <c r="C794" s="139" t="s">
        <v>598</v>
      </c>
      <c r="D794" s="138" t="s">
        <v>6</v>
      </c>
      <c r="E794" s="138">
        <v>0.41200000000000003</v>
      </c>
      <c r="F794" s="143">
        <v>12.54</v>
      </c>
      <c r="G794" s="107">
        <f>ROUND(E794*F794,2)</f>
        <v>5.17</v>
      </c>
    </row>
    <row r="795" spans="1:7" s="132" customFormat="1" ht="15.75">
      <c r="A795" s="137"/>
      <c r="B795" s="138" t="s">
        <v>692</v>
      </c>
      <c r="C795" s="139" t="s">
        <v>693</v>
      </c>
      <c r="D795" s="138" t="s">
        <v>6</v>
      </c>
      <c r="E795" s="138">
        <v>0.41200000000000003</v>
      </c>
      <c r="F795" s="143">
        <v>17.3</v>
      </c>
      <c r="G795" s="107">
        <f>ROUND(E795*F795,2)</f>
        <v>7.13</v>
      </c>
    </row>
    <row r="796" spans="1:7" s="132" customFormat="1" ht="30">
      <c r="A796" s="137"/>
      <c r="B796" s="138" t="s">
        <v>905</v>
      </c>
      <c r="C796" s="139" t="s">
        <v>906</v>
      </c>
      <c r="D796" s="138" t="s">
        <v>0</v>
      </c>
      <c r="E796" s="138">
        <v>1</v>
      </c>
      <c r="F796" s="143">
        <v>4.4096</v>
      </c>
      <c r="G796" s="107">
        <f>ROUND(E796*F796,2)</f>
        <v>4.41</v>
      </c>
    </row>
    <row r="797" spans="1:7" s="132" customFormat="1" ht="15.75">
      <c r="A797" s="137"/>
      <c r="B797" s="138" t="s">
        <v>907</v>
      </c>
      <c r="C797" s="139" t="s">
        <v>908</v>
      </c>
      <c r="D797" s="138" t="s">
        <v>1</v>
      </c>
      <c r="E797" s="138">
        <v>0.03</v>
      </c>
      <c r="F797" s="143">
        <v>237.7778</v>
      </c>
      <c r="G797" s="107">
        <f>ROUND(E797*F797,2)</f>
        <v>7.13</v>
      </c>
    </row>
    <row r="798" spans="1:7" s="132" customFormat="1" ht="15.75">
      <c r="A798" s="137"/>
      <c r="B798" s="138"/>
      <c r="C798" s="139"/>
      <c r="D798" s="138"/>
      <c r="E798" s="138" t="s">
        <v>7</v>
      </c>
      <c r="F798" s="143"/>
      <c r="G798" s="107">
        <f>ROUND(SUM(G794:G797),2)</f>
        <v>23.84</v>
      </c>
    </row>
    <row r="799" spans="1:7" ht="30">
      <c r="A799" s="26" t="s">
        <v>261</v>
      </c>
      <c r="B799" s="26" t="s">
        <v>141</v>
      </c>
      <c r="C799" s="27" t="s">
        <v>465</v>
      </c>
      <c r="D799" s="26" t="s">
        <v>1</v>
      </c>
      <c r="E799" s="26">
        <v>0.31</v>
      </c>
      <c r="F799" s="120">
        <f>ROUND(F800,2)-0.04</f>
        <v>367.29999999999995</v>
      </c>
      <c r="G799" s="28">
        <f>ROUND((E799*F799),2)</f>
        <v>113.86</v>
      </c>
    </row>
    <row r="800" spans="1:7" ht="30">
      <c r="A800" s="57"/>
      <c r="B800" s="58" t="s">
        <v>141</v>
      </c>
      <c r="C800" s="59" t="s">
        <v>1382</v>
      </c>
      <c r="D800" s="58" t="s">
        <v>1</v>
      </c>
      <c r="E800" s="58">
        <v>1</v>
      </c>
      <c r="F800" s="114">
        <f>G808</f>
        <v>367.34</v>
      </c>
      <c r="G800" s="60">
        <f>ROUND(E800*F800,2)</f>
        <v>367.34</v>
      </c>
    </row>
    <row r="801" spans="1:7" ht="30">
      <c r="A801" s="106"/>
      <c r="B801" s="104" t="s">
        <v>1383</v>
      </c>
      <c r="C801" s="105" t="s">
        <v>1384</v>
      </c>
      <c r="D801" s="104" t="s">
        <v>1</v>
      </c>
      <c r="E801" s="104">
        <v>0.5</v>
      </c>
      <c r="F801" s="155">
        <f>ROUND(79.8,2)</f>
        <v>79.8</v>
      </c>
      <c r="G801" s="107">
        <f>ROUND(E801*F801,2)</f>
        <v>39.9</v>
      </c>
    </row>
    <row r="802" spans="1:7" ht="15.75">
      <c r="A802" s="106"/>
      <c r="B802" s="104" t="s">
        <v>284</v>
      </c>
      <c r="C802" s="105" t="s">
        <v>1385</v>
      </c>
      <c r="D802" s="104" t="s">
        <v>5</v>
      </c>
      <c r="E802" s="104">
        <v>546.68</v>
      </c>
      <c r="F802" s="155">
        <f>ROUND(0.41,2)</f>
        <v>0.41</v>
      </c>
      <c r="G802" s="107">
        <f>ROUND(E802*F802,2)</f>
        <v>224.14</v>
      </c>
    </row>
    <row r="803" spans="1:7" ht="15.75">
      <c r="A803" s="106"/>
      <c r="B803" s="104" t="s">
        <v>286</v>
      </c>
      <c r="C803" s="105" t="s">
        <v>1386</v>
      </c>
      <c r="D803" s="104" t="s">
        <v>5</v>
      </c>
      <c r="E803" s="104">
        <v>13.12</v>
      </c>
      <c r="F803" s="155">
        <f>ROUND(0.76,2)</f>
        <v>0.76</v>
      </c>
      <c r="G803" s="107">
        <f>ROUND(E803*F803,2)</f>
        <v>9.97</v>
      </c>
    </row>
    <row r="804" spans="1:7" ht="15.75">
      <c r="A804" s="106"/>
      <c r="B804" s="104" t="s">
        <v>1387</v>
      </c>
      <c r="C804" s="105" t="s">
        <v>1388</v>
      </c>
      <c r="D804" s="104" t="s">
        <v>1</v>
      </c>
      <c r="E804" s="104">
        <v>0.43</v>
      </c>
      <c r="F804" s="155">
        <f>ROUND(72.55,2)</f>
        <v>72.55</v>
      </c>
      <c r="G804" s="107">
        <f>ROUND(E804*F804,2)</f>
        <v>31.2</v>
      </c>
    </row>
    <row r="805" spans="1:7" ht="30">
      <c r="A805" s="106"/>
      <c r="B805" s="104" t="s">
        <v>1389</v>
      </c>
      <c r="C805" s="105" t="s">
        <v>1390</v>
      </c>
      <c r="D805" s="104" t="s">
        <v>6</v>
      </c>
      <c r="E805" s="104">
        <v>2.99</v>
      </c>
      <c r="F805" s="155">
        <f>ROUND(20.14,2)</f>
        <v>20.14</v>
      </c>
      <c r="G805" s="107">
        <f>ROUND(E805*F805,2)</f>
        <v>60.22</v>
      </c>
    </row>
    <row r="806" spans="1:7" ht="45">
      <c r="A806" s="106"/>
      <c r="B806" s="104" t="s">
        <v>1391</v>
      </c>
      <c r="C806" s="105" t="s">
        <v>1392</v>
      </c>
      <c r="D806" s="104" t="s">
        <v>142</v>
      </c>
      <c r="E806" s="104">
        <v>2.07</v>
      </c>
      <c r="F806" s="155">
        <f>ROUND(0.29,2)</f>
        <v>0.29</v>
      </c>
      <c r="G806" s="107">
        <f>ROUND(E806*F806,2)</f>
        <v>0.6</v>
      </c>
    </row>
    <row r="807" spans="1:7" ht="45">
      <c r="A807" s="106"/>
      <c r="B807" s="104" t="s">
        <v>1393</v>
      </c>
      <c r="C807" s="105" t="s">
        <v>1394</v>
      </c>
      <c r="D807" s="104" t="s">
        <v>143</v>
      </c>
      <c r="E807" s="104">
        <v>0.92</v>
      </c>
      <c r="F807" s="155">
        <f>ROUND(1.42,2)</f>
        <v>1.42</v>
      </c>
      <c r="G807" s="107">
        <f>ROUND(E807*F807,2)</f>
        <v>1.31</v>
      </c>
    </row>
    <row r="808" spans="1:7" ht="15.75">
      <c r="A808" s="106"/>
      <c r="B808" s="104"/>
      <c r="C808" s="105"/>
      <c r="D808" s="104"/>
      <c r="E808" s="104" t="s">
        <v>7</v>
      </c>
      <c r="F808" s="155"/>
      <c r="G808" s="107">
        <f>ROUND(SUM(G801:G807),2)</f>
        <v>367.34</v>
      </c>
    </row>
    <row r="809" spans="1:7" s="157" customFormat="1" ht="30.75">
      <c r="A809" s="144" t="s">
        <v>262</v>
      </c>
      <c r="B809" s="151" t="s">
        <v>394</v>
      </c>
      <c r="C809" s="145" t="s">
        <v>1303</v>
      </c>
      <c r="D809" s="144" t="s">
        <v>263</v>
      </c>
      <c r="E809" s="144">
        <v>9.03</v>
      </c>
      <c r="F809" s="146">
        <f>ROUND(F810,2)-0.03</f>
        <v>59.339999999999996</v>
      </c>
      <c r="G809" s="28">
        <f>ROUND((E809*F809),2)</f>
        <v>535.84</v>
      </c>
    </row>
    <row r="810" spans="1:7" s="227" customFormat="1" ht="30">
      <c r="A810" s="228"/>
      <c r="B810" s="229" t="s">
        <v>396</v>
      </c>
      <c r="C810" s="230" t="s">
        <v>466</v>
      </c>
      <c r="D810" s="231" t="s">
        <v>0</v>
      </c>
      <c r="E810" s="232">
        <v>1</v>
      </c>
      <c r="F810" s="233">
        <f>G816</f>
        <v>59.37</v>
      </c>
      <c r="G810" s="234">
        <f>ROUND(E810*F810,2)</f>
        <v>59.37</v>
      </c>
    </row>
    <row r="811" spans="1:7" s="242" customFormat="1" ht="31.5">
      <c r="A811" s="235"/>
      <c r="B811" s="236" t="s">
        <v>418</v>
      </c>
      <c r="C811" s="237" t="s">
        <v>1395</v>
      </c>
      <c r="D811" s="238" t="s">
        <v>0</v>
      </c>
      <c r="E811" s="239">
        <v>1</v>
      </c>
      <c r="F811" s="240">
        <v>42.81</v>
      </c>
      <c r="G811" s="241">
        <f>ROUND(E811*F811,2)</f>
        <v>42.81</v>
      </c>
    </row>
    <row r="812" spans="1:7" s="227" customFormat="1" ht="15">
      <c r="A812" s="243"/>
      <c r="B812" s="244" t="s">
        <v>395</v>
      </c>
      <c r="C812" s="245" t="s">
        <v>909</v>
      </c>
      <c r="D812" s="246" t="s">
        <v>5</v>
      </c>
      <c r="E812" s="247">
        <v>0.52</v>
      </c>
      <c r="F812" s="248">
        <f>ROUND(4.29,2)</f>
        <v>4.29</v>
      </c>
      <c r="G812" s="249">
        <f>ROUND(E812*F812,2)</f>
        <v>2.23</v>
      </c>
    </row>
    <row r="813" spans="1:7" s="227" customFormat="1" ht="30">
      <c r="A813" s="243"/>
      <c r="B813" s="244" t="s">
        <v>597</v>
      </c>
      <c r="C813" s="245" t="s">
        <v>598</v>
      </c>
      <c r="D813" s="246" t="s">
        <v>6</v>
      </c>
      <c r="E813" s="247">
        <v>0.41200000000000003</v>
      </c>
      <c r="F813" s="248">
        <v>12.54</v>
      </c>
      <c r="G813" s="249">
        <f>ROUND(E813*F813,2)</f>
        <v>5.17</v>
      </c>
    </row>
    <row r="814" spans="1:7" s="227" customFormat="1" ht="15">
      <c r="A814" s="243"/>
      <c r="B814" s="244" t="s">
        <v>692</v>
      </c>
      <c r="C814" s="245" t="s">
        <v>693</v>
      </c>
      <c r="D814" s="246" t="s">
        <v>6</v>
      </c>
      <c r="E814" s="247">
        <v>0.41200000000000003</v>
      </c>
      <c r="F814" s="248">
        <v>17.3</v>
      </c>
      <c r="G814" s="249">
        <f>ROUND(E814*F814,2)</f>
        <v>7.13</v>
      </c>
    </row>
    <row r="815" spans="1:7" s="227" customFormat="1" ht="15">
      <c r="A815" s="243"/>
      <c r="B815" s="244" t="s">
        <v>822</v>
      </c>
      <c r="C815" s="245" t="s">
        <v>823</v>
      </c>
      <c r="D815" s="246" t="s">
        <v>1</v>
      </c>
      <c r="E815" s="247">
        <v>0.008</v>
      </c>
      <c r="F815" s="248">
        <v>253.5163</v>
      </c>
      <c r="G815" s="249">
        <f>ROUND(E815*F815,2)</f>
        <v>2.03</v>
      </c>
    </row>
    <row r="816" spans="1:7" s="227" customFormat="1" ht="15">
      <c r="A816" s="243"/>
      <c r="B816" s="244"/>
      <c r="C816" s="245"/>
      <c r="D816" s="246"/>
      <c r="E816" s="247" t="s">
        <v>7</v>
      </c>
      <c r="F816" s="248"/>
      <c r="G816" s="249">
        <f>ROUND(SUM(G811:G815),2)</f>
        <v>59.37</v>
      </c>
    </row>
    <row r="817" spans="1:7" s="172" customFormat="1" ht="15.75">
      <c r="A817" s="170" t="s">
        <v>162</v>
      </c>
      <c r="B817" s="170"/>
      <c r="C817" s="171"/>
      <c r="D817" s="170"/>
      <c r="E817" s="170"/>
      <c r="F817" s="170" t="s">
        <v>264</v>
      </c>
      <c r="G817" s="169">
        <f>G763+G774+G784+G792+G799+G809</f>
        <v>15168.49</v>
      </c>
    </row>
    <row r="818" spans="1:7" ht="15.75">
      <c r="A818" s="122" t="s">
        <v>36</v>
      </c>
      <c r="B818" s="122"/>
      <c r="C818" s="123" t="s">
        <v>467</v>
      </c>
      <c r="D818" s="122"/>
      <c r="E818" s="122"/>
      <c r="F818" s="122"/>
      <c r="G818" s="122"/>
    </row>
    <row r="819" spans="1:7" ht="30">
      <c r="A819" s="54" t="s">
        <v>15</v>
      </c>
      <c r="B819" s="55" t="s">
        <v>133</v>
      </c>
      <c r="C819" s="56" t="s">
        <v>586</v>
      </c>
      <c r="D819" s="54" t="s">
        <v>0</v>
      </c>
      <c r="E819" s="280">
        <v>54.6</v>
      </c>
      <c r="F819" s="116">
        <f>ROUND(F820,2)-0.01</f>
        <v>157.69</v>
      </c>
      <c r="G819" s="53">
        <f>ROUND((E819*F819),2)</f>
        <v>8609.87</v>
      </c>
    </row>
    <row r="820" spans="1:7" ht="30">
      <c r="A820" s="57"/>
      <c r="B820" s="58" t="s">
        <v>126</v>
      </c>
      <c r="C820" s="59" t="s">
        <v>468</v>
      </c>
      <c r="D820" s="58" t="s">
        <v>0</v>
      </c>
      <c r="E820" s="208">
        <v>1</v>
      </c>
      <c r="F820" s="114">
        <f>G828</f>
        <v>157.7</v>
      </c>
      <c r="G820" s="60">
        <f>ROUND(E820*F820,2)</f>
        <v>157.7</v>
      </c>
    </row>
    <row r="821" spans="1:7" ht="30">
      <c r="A821" s="106"/>
      <c r="B821" s="104" t="s">
        <v>127</v>
      </c>
      <c r="C821" s="105" t="s">
        <v>1396</v>
      </c>
      <c r="D821" s="104" t="s">
        <v>3</v>
      </c>
      <c r="E821" s="209">
        <v>1.68</v>
      </c>
      <c r="F821" s="104">
        <v>59.31</v>
      </c>
      <c r="G821" s="107">
        <f>ROUND(E821*F821,2)</f>
        <v>99.64</v>
      </c>
    </row>
    <row r="822" spans="1:7" s="117" customFormat="1" ht="31.5">
      <c r="A822" s="129"/>
      <c r="B822" s="112" t="s">
        <v>128</v>
      </c>
      <c r="C822" s="118" t="s">
        <v>1397</v>
      </c>
      <c r="D822" s="112" t="s">
        <v>0</v>
      </c>
      <c r="E822" s="251">
        <v>0</v>
      </c>
      <c r="F822" s="112">
        <v>16.59</v>
      </c>
      <c r="G822" s="115">
        <f>ROUND(E822*F822,2)</f>
        <v>0</v>
      </c>
    </row>
    <row r="823" spans="1:8" s="285" customFormat="1" ht="31.5">
      <c r="A823" s="129"/>
      <c r="B823" s="112" t="s">
        <v>132</v>
      </c>
      <c r="C823" s="118" t="s">
        <v>1398</v>
      </c>
      <c r="D823" s="112" t="s">
        <v>0</v>
      </c>
      <c r="E823" s="251">
        <v>1.05</v>
      </c>
      <c r="F823" s="112">
        <v>22.82</v>
      </c>
      <c r="G823" s="115">
        <f>ROUND(E823*F823,2)</f>
        <v>23.96</v>
      </c>
      <c r="H823" s="284"/>
    </row>
    <row r="824" spans="1:7" ht="15.75">
      <c r="A824" s="106"/>
      <c r="B824" s="104" t="s">
        <v>129</v>
      </c>
      <c r="C824" s="105" t="s">
        <v>1399</v>
      </c>
      <c r="D824" s="104" t="s">
        <v>5</v>
      </c>
      <c r="E824" s="209">
        <v>0.15</v>
      </c>
      <c r="F824" s="104">
        <v>11.76</v>
      </c>
      <c r="G824" s="107">
        <f>ROUND(E824*F824,2)</f>
        <v>1.76</v>
      </c>
    </row>
    <row r="825" spans="1:7" ht="15.75">
      <c r="A825" s="106"/>
      <c r="B825" s="104" t="s">
        <v>130</v>
      </c>
      <c r="C825" s="105" t="s">
        <v>1400</v>
      </c>
      <c r="D825" s="104" t="s">
        <v>5</v>
      </c>
      <c r="E825" s="209">
        <v>0.07</v>
      </c>
      <c r="F825" s="104">
        <v>13.6</v>
      </c>
      <c r="G825" s="107">
        <f>ROUND(E825*F825,2)</f>
        <v>0.95</v>
      </c>
    </row>
    <row r="826" spans="1:7" ht="15.75">
      <c r="A826" s="106"/>
      <c r="B826" s="104" t="s">
        <v>119</v>
      </c>
      <c r="C826" s="105" t="s">
        <v>120</v>
      </c>
      <c r="D826" s="104" t="s">
        <v>6</v>
      </c>
      <c r="E826" s="209">
        <v>1</v>
      </c>
      <c r="F826" s="104">
        <f>ROUND(19.32,2)</f>
        <v>19.32</v>
      </c>
      <c r="G826" s="107">
        <f>ROUND(E826*F826,2)</f>
        <v>19.32</v>
      </c>
    </row>
    <row r="827" spans="1:7" ht="15.75">
      <c r="A827" s="106"/>
      <c r="B827" s="104" t="s">
        <v>131</v>
      </c>
      <c r="C827" s="105" t="s">
        <v>1401</v>
      </c>
      <c r="D827" s="104" t="s">
        <v>6</v>
      </c>
      <c r="E827" s="209">
        <v>0.5</v>
      </c>
      <c r="F827" s="104">
        <f>ROUND(24.13,2)</f>
        <v>24.13</v>
      </c>
      <c r="G827" s="107">
        <f>ROUND(E827*F827,2)</f>
        <v>12.07</v>
      </c>
    </row>
    <row r="828" spans="1:7" ht="15.75">
      <c r="A828" s="61"/>
      <c r="B828" s="62"/>
      <c r="C828" s="63"/>
      <c r="D828" s="62"/>
      <c r="E828" s="62" t="s">
        <v>7</v>
      </c>
      <c r="F828" s="62"/>
      <c r="G828" s="64">
        <f>ROUND(SUM(G821:G827),2)</f>
        <v>157.7</v>
      </c>
    </row>
    <row r="829" spans="1:7" ht="30">
      <c r="A829" s="54" t="s">
        <v>16</v>
      </c>
      <c r="B829" s="54" t="s">
        <v>910</v>
      </c>
      <c r="C829" s="131" t="s">
        <v>469</v>
      </c>
      <c r="D829" s="54" t="s">
        <v>3</v>
      </c>
      <c r="E829" s="54">
        <v>25.9</v>
      </c>
      <c r="F829" s="119">
        <f>ROUND(F830,2)-0.01</f>
        <v>75.1</v>
      </c>
      <c r="G829" s="35">
        <f>ROUND((E829*F829),2)</f>
        <v>1945.09</v>
      </c>
    </row>
    <row r="830" spans="1:7" ht="45">
      <c r="A830" s="57"/>
      <c r="B830" s="58" t="s">
        <v>910</v>
      </c>
      <c r="C830" s="59" t="s">
        <v>911</v>
      </c>
      <c r="D830" s="58" t="s">
        <v>3</v>
      </c>
      <c r="E830" s="58">
        <v>1</v>
      </c>
      <c r="F830" s="114">
        <f>G834</f>
        <v>75.11</v>
      </c>
      <c r="G830" s="60">
        <f>ROUND(E830*F830,2)</f>
        <v>75.11</v>
      </c>
    </row>
    <row r="831" spans="1:7" ht="15.75">
      <c r="A831" s="106"/>
      <c r="B831" s="104" t="s">
        <v>91</v>
      </c>
      <c r="C831" s="105" t="s">
        <v>912</v>
      </c>
      <c r="D831" s="104" t="s">
        <v>3</v>
      </c>
      <c r="E831" s="104">
        <v>1.265</v>
      </c>
      <c r="F831" s="155">
        <v>46.69</v>
      </c>
      <c r="G831" s="107">
        <f>ROUND(E831*F831,2)</f>
        <v>59.06</v>
      </c>
    </row>
    <row r="832" spans="1:7" ht="30">
      <c r="A832" s="106"/>
      <c r="B832" s="104" t="s">
        <v>597</v>
      </c>
      <c r="C832" s="105" t="s">
        <v>598</v>
      </c>
      <c r="D832" s="104" t="s">
        <v>6</v>
      </c>
      <c r="E832" s="104">
        <v>0.515</v>
      </c>
      <c r="F832" s="155">
        <v>12.54</v>
      </c>
      <c r="G832" s="107">
        <f>ROUND(E832*F832,2)</f>
        <v>6.46</v>
      </c>
    </row>
    <row r="833" spans="1:7" ht="30">
      <c r="A833" s="106"/>
      <c r="B833" s="104" t="s">
        <v>673</v>
      </c>
      <c r="C833" s="105" t="s">
        <v>674</v>
      </c>
      <c r="D833" s="104" t="s">
        <v>6</v>
      </c>
      <c r="E833" s="104">
        <v>0.515</v>
      </c>
      <c r="F833" s="155">
        <v>18.63</v>
      </c>
      <c r="G833" s="107">
        <f>ROUND(E833*F833,2)</f>
        <v>9.59</v>
      </c>
    </row>
    <row r="834" spans="1:7" ht="15.75">
      <c r="A834" s="106"/>
      <c r="B834" s="104"/>
      <c r="C834" s="105"/>
      <c r="D834" s="104"/>
      <c r="E834" s="104" t="s">
        <v>7</v>
      </c>
      <c r="F834" s="155"/>
      <c r="G834" s="107">
        <f>ROUND(SUM(G831:G833),2)</f>
        <v>75.11</v>
      </c>
    </row>
    <row r="835" spans="1:7" s="265" customFormat="1" ht="21">
      <c r="A835" s="260"/>
      <c r="B835" s="261"/>
      <c r="C835" s="262" t="s">
        <v>470</v>
      </c>
      <c r="D835" s="261"/>
      <c r="E835" s="261"/>
      <c r="F835" s="263"/>
      <c r="G835" s="264"/>
    </row>
    <row r="836" spans="1:7" ht="30">
      <c r="A836" s="26" t="s">
        <v>20</v>
      </c>
      <c r="B836" s="26" t="s">
        <v>913</v>
      </c>
      <c r="C836" s="27" t="s">
        <v>563</v>
      </c>
      <c r="D836" s="26" t="s">
        <v>0</v>
      </c>
      <c r="E836" s="26">
        <v>34.4</v>
      </c>
      <c r="F836" s="120">
        <f>ROUND(F837,2)-0.01</f>
        <v>31.18</v>
      </c>
      <c r="G836" s="28">
        <f>ROUND((E836*F836),2)</f>
        <v>1072.59</v>
      </c>
    </row>
    <row r="837" spans="1:7" ht="30">
      <c r="A837" s="57"/>
      <c r="B837" s="58" t="s">
        <v>913</v>
      </c>
      <c r="C837" s="59" t="s">
        <v>914</v>
      </c>
      <c r="D837" s="58" t="s">
        <v>0</v>
      </c>
      <c r="E837" s="58">
        <v>1</v>
      </c>
      <c r="F837" s="114">
        <f>G839</f>
        <v>31.19</v>
      </c>
      <c r="G837" s="60">
        <f>ROUND(E837*F837,2)</f>
        <v>31.19</v>
      </c>
    </row>
    <row r="838" spans="1:7" ht="15.75">
      <c r="A838" s="106"/>
      <c r="B838" s="104" t="s">
        <v>561</v>
      </c>
      <c r="C838" s="105" t="s">
        <v>562</v>
      </c>
      <c r="D838" s="104" t="s">
        <v>0</v>
      </c>
      <c r="E838" s="104">
        <v>1.596</v>
      </c>
      <c r="F838" s="104">
        <v>19.54</v>
      </c>
      <c r="G838" s="107">
        <f>ROUND(E838*F838,2)</f>
        <v>31.19</v>
      </c>
    </row>
    <row r="839" spans="1:7" ht="15.75">
      <c r="A839" s="106"/>
      <c r="B839" s="104"/>
      <c r="C839" s="105"/>
      <c r="D839" s="104"/>
      <c r="E839" s="104" t="s">
        <v>7</v>
      </c>
      <c r="F839" s="104"/>
      <c r="G839" s="107">
        <f>ROUND(SUM(G838:G838),2)</f>
        <v>31.19</v>
      </c>
    </row>
    <row r="840" spans="1:7" s="296" customFormat="1" ht="30">
      <c r="A840" s="144" t="s">
        <v>137</v>
      </c>
      <c r="B840" s="144" t="s">
        <v>1256</v>
      </c>
      <c r="C840" s="145" t="s">
        <v>1257</v>
      </c>
      <c r="D840" s="144" t="s">
        <v>31</v>
      </c>
      <c r="E840" s="279">
        <v>2</v>
      </c>
      <c r="F840" s="146">
        <f>ROUND(F841,2)-0.01</f>
        <v>8.24</v>
      </c>
      <c r="G840" s="28">
        <f>ROUND((E840*F840),2)</f>
        <v>16.48</v>
      </c>
    </row>
    <row r="841" spans="1:7" s="157" customFormat="1" ht="45">
      <c r="A841" s="137"/>
      <c r="B841" s="138" t="s">
        <v>1250</v>
      </c>
      <c r="C841" s="139" t="s">
        <v>1251</v>
      </c>
      <c r="D841" s="138" t="s">
        <v>14</v>
      </c>
      <c r="E841" s="138">
        <v>1</v>
      </c>
      <c r="F841" s="143">
        <f>G848</f>
        <v>8.25</v>
      </c>
      <c r="G841" s="107">
        <f>ROUND(E841*F841,2)</f>
        <v>8.25</v>
      </c>
    </row>
    <row r="842" spans="1:7" s="157" customFormat="1" ht="15.75">
      <c r="A842" s="160"/>
      <c r="B842" s="161" t="s">
        <v>377</v>
      </c>
      <c r="C842" s="162" t="s">
        <v>647</v>
      </c>
      <c r="D842" s="161" t="s">
        <v>14</v>
      </c>
      <c r="E842" s="460">
        <v>0</v>
      </c>
      <c r="F842" s="460">
        <v>0.05</v>
      </c>
      <c r="G842" s="461">
        <f>ROUND(E842*F842,2)</f>
        <v>0</v>
      </c>
    </row>
    <row r="843" spans="1:7" s="157" customFormat="1" ht="15.75">
      <c r="A843" s="137"/>
      <c r="B843" s="138" t="s">
        <v>1252</v>
      </c>
      <c r="C843" s="139" t="s">
        <v>1253</v>
      </c>
      <c r="D843" s="138" t="s">
        <v>14</v>
      </c>
      <c r="E843" s="462">
        <v>1</v>
      </c>
      <c r="F843" s="462">
        <v>0.05</v>
      </c>
      <c r="G843" s="463">
        <f>ROUND(E843*F843,2)</f>
        <v>0.05</v>
      </c>
    </row>
    <row r="844" spans="1:7" s="157" customFormat="1" ht="15.75">
      <c r="A844" s="160"/>
      <c r="B844" s="161" t="s">
        <v>1254</v>
      </c>
      <c r="C844" s="162" t="s">
        <v>1255</v>
      </c>
      <c r="D844" s="161" t="s">
        <v>14</v>
      </c>
      <c r="E844" s="460">
        <v>0</v>
      </c>
      <c r="F844" s="460">
        <v>1.56</v>
      </c>
      <c r="G844" s="461">
        <f>ROUND(E844*F844,2)</f>
        <v>0</v>
      </c>
    </row>
    <row r="845" spans="1:7" s="157" customFormat="1" ht="30">
      <c r="A845" s="137"/>
      <c r="B845" s="138" t="s">
        <v>669</v>
      </c>
      <c r="C845" s="139" t="s">
        <v>670</v>
      </c>
      <c r="D845" s="138" t="s">
        <v>6</v>
      </c>
      <c r="E845" s="462">
        <v>0.28840000000000005</v>
      </c>
      <c r="F845" s="462">
        <v>17.3</v>
      </c>
      <c r="G845" s="463">
        <f>ROUND(E845*F845,2)</f>
        <v>4.99</v>
      </c>
    </row>
    <row r="846" spans="1:7" s="157" customFormat="1" ht="31.5">
      <c r="A846" s="160"/>
      <c r="B846" s="161" t="s">
        <v>1249</v>
      </c>
      <c r="C846" s="162" t="s">
        <v>1248</v>
      </c>
      <c r="D846" s="161" t="s">
        <v>14</v>
      </c>
      <c r="E846" s="460">
        <v>1</v>
      </c>
      <c r="F846" s="460">
        <v>0.95</v>
      </c>
      <c r="G846" s="461">
        <f>ROUND(E846*F846,2)</f>
        <v>0.95</v>
      </c>
    </row>
    <row r="847" spans="1:7" s="157" customFormat="1" ht="15.75">
      <c r="A847" s="160"/>
      <c r="B847" s="161" t="s">
        <v>1149</v>
      </c>
      <c r="C847" s="162" t="s">
        <v>473</v>
      </c>
      <c r="D847" s="161" t="s">
        <v>14</v>
      </c>
      <c r="E847" s="460">
        <v>2</v>
      </c>
      <c r="F847" s="460">
        <v>1.13</v>
      </c>
      <c r="G847" s="461">
        <f>ROUND(E847*F847,2)</f>
        <v>2.26</v>
      </c>
    </row>
    <row r="848" spans="1:7" s="177" customFormat="1" ht="15.75">
      <c r="A848" s="140"/>
      <c r="B848" s="141"/>
      <c r="C848" s="142"/>
      <c r="D848" s="141"/>
      <c r="E848" s="141" t="s">
        <v>7</v>
      </c>
      <c r="F848" s="141"/>
      <c r="G848" s="64">
        <f>SUM(G842:G847)</f>
        <v>8.25</v>
      </c>
    </row>
    <row r="849" spans="1:7" s="177" customFormat="1" ht="30.75">
      <c r="A849" s="148" t="s">
        <v>138</v>
      </c>
      <c r="B849" s="148" t="s">
        <v>915</v>
      </c>
      <c r="C849" s="149" t="s">
        <v>529</v>
      </c>
      <c r="D849" s="148" t="s">
        <v>0</v>
      </c>
      <c r="E849" s="271">
        <v>247</v>
      </c>
      <c r="F849" s="158">
        <f>ROUND(F850,2)-0.01</f>
        <v>9.790000000000001</v>
      </c>
      <c r="G849" s="53">
        <f>ROUND((E849*F849),2)</f>
        <v>2418.13</v>
      </c>
    </row>
    <row r="850" spans="1:7" s="132" customFormat="1" ht="30">
      <c r="A850" s="133"/>
      <c r="B850" s="134" t="s">
        <v>915</v>
      </c>
      <c r="C850" s="135" t="s">
        <v>916</v>
      </c>
      <c r="D850" s="134" t="s">
        <v>0</v>
      </c>
      <c r="E850" s="134">
        <v>1</v>
      </c>
      <c r="F850" s="136">
        <f>ROUND(9.79944,2)</f>
        <v>9.8</v>
      </c>
      <c r="G850" s="60">
        <f>ROUND(E850*F850,2)</f>
        <v>9.8</v>
      </c>
    </row>
    <row r="851" spans="1:7" s="132" customFormat="1" ht="30">
      <c r="A851" s="137"/>
      <c r="B851" s="138" t="s">
        <v>92</v>
      </c>
      <c r="C851" s="139" t="s">
        <v>917</v>
      </c>
      <c r="D851" s="138" t="s">
        <v>0</v>
      </c>
      <c r="E851" s="138">
        <v>1.596</v>
      </c>
      <c r="F851" s="143">
        <v>6.14</v>
      </c>
      <c r="G851" s="107">
        <f>ROUND(E851*F851,2)</f>
        <v>9.8</v>
      </c>
    </row>
    <row r="852" spans="1:7" s="132" customFormat="1" ht="15.75">
      <c r="A852" s="137"/>
      <c r="B852" s="138"/>
      <c r="C852" s="139"/>
      <c r="D852" s="138"/>
      <c r="E852" s="138" t="s">
        <v>7</v>
      </c>
      <c r="F852" s="143"/>
      <c r="G852" s="107">
        <f>ROUND(SUM(G851:G851),2)</f>
        <v>9.8</v>
      </c>
    </row>
    <row r="853" spans="1:7" s="176" customFormat="1" ht="45.75">
      <c r="A853" s="130" t="s">
        <v>140</v>
      </c>
      <c r="B853" s="130" t="s">
        <v>918</v>
      </c>
      <c r="C853" s="131" t="s">
        <v>1298</v>
      </c>
      <c r="D853" s="130" t="s">
        <v>0</v>
      </c>
      <c r="E853" s="130">
        <f>2.8*2.9</f>
        <v>8.12</v>
      </c>
      <c r="F853" s="225">
        <f>ROUND(F854,2)-0.01</f>
        <v>917.11</v>
      </c>
      <c r="G853" s="35">
        <f>ROUND((E853*F853),2)</f>
        <v>7446.93</v>
      </c>
    </row>
    <row r="854" spans="1:7" s="132" customFormat="1" ht="45">
      <c r="A854" s="133" t="s">
        <v>420</v>
      </c>
      <c r="B854" s="134" t="s">
        <v>918</v>
      </c>
      <c r="C854" s="135" t="s">
        <v>919</v>
      </c>
      <c r="D854" s="134" t="s">
        <v>0</v>
      </c>
      <c r="E854" s="134">
        <v>1</v>
      </c>
      <c r="F854" s="136">
        <f>G859</f>
        <v>917.12</v>
      </c>
      <c r="G854" s="60">
        <f>ROUND(E854*F854,2)</f>
        <v>917.12</v>
      </c>
    </row>
    <row r="855" spans="1:7" s="132" customFormat="1" ht="15.75">
      <c r="A855" s="137"/>
      <c r="B855" s="138" t="s">
        <v>134</v>
      </c>
      <c r="C855" s="139" t="s">
        <v>920</v>
      </c>
      <c r="D855" s="138" t="s">
        <v>5</v>
      </c>
      <c r="E855" s="138">
        <v>16.099999999999998</v>
      </c>
      <c r="F855" s="143">
        <v>7.12</v>
      </c>
      <c r="G855" s="107">
        <f>ROUND(E855*F855,2)</f>
        <v>114.63</v>
      </c>
    </row>
    <row r="856" spans="1:7" s="132" customFormat="1" ht="30">
      <c r="A856" s="137"/>
      <c r="B856" s="138" t="s">
        <v>135</v>
      </c>
      <c r="C856" s="139" t="s">
        <v>623</v>
      </c>
      <c r="D856" s="138" t="s">
        <v>5</v>
      </c>
      <c r="E856" s="138">
        <v>26.45</v>
      </c>
      <c r="F856" s="143">
        <v>4.85</v>
      </c>
      <c r="G856" s="107">
        <f>ROUND(E856*F856,2)</f>
        <v>128.28</v>
      </c>
    </row>
    <row r="857" spans="1:7" s="132" customFormat="1" ht="30">
      <c r="A857" s="137"/>
      <c r="B857" s="138" t="s">
        <v>673</v>
      </c>
      <c r="C857" s="139" t="s">
        <v>674</v>
      </c>
      <c r="D857" s="138" t="s">
        <v>6</v>
      </c>
      <c r="E857" s="138">
        <v>21.63</v>
      </c>
      <c r="F857" s="143">
        <v>18.63</v>
      </c>
      <c r="G857" s="107">
        <f>ROUND(E857*F857,2)</f>
        <v>402.97</v>
      </c>
    </row>
    <row r="858" spans="1:7" s="132" customFormat="1" ht="30">
      <c r="A858" s="137"/>
      <c r="B858" s="138" t="s">
        <v>921</v>
      </c>
      <c r="C858" s="139" t="s">
        <v>922</v>
      </c>
      <c r="D858" s="138" t="s">
        <v>6</v>
      </c>
      <c r="E858" s="138">
        <v>21.63</v>
      </c>
      <c r="F858" s="143">
        <v>12.54</v>
      </c>
      <c r="G858" s="107">
        <f>ROUND(E858*F858,2)</f>
        <v>271.24</v>
      </c>
    </row>
    <row r="859" spans="1:7" s="132" customFormat="1" ht="15.75">
      <c r="A859" s="137"/>
      <c r="B859" s="138"/>
      <c r="C859" s="139"/>
      <c r="D859" s="138"/>
      <c r="E859" s="138" t="s">
        <v>7</v>
      </c>
      <c r="F859" s="143"/>
      <c r="G859" s="107">
        <f>ROUND(SUM(G855:G858),2)</f>
        <v>917.12</v>
      </c>
    </row>
    <row r="860" spans="1:7" s="176" customFormat="1" ht="60.75">
      <c r="A860" s="144" t="s">
        <v>267</v>
      </c>
      <c r="B860" s="194" t="s">
        <v>1292</v>
      </c>
      <c r="C860" s="145" t="s">
        <v>1291</v>
      </c>
      <c r="D860" s="144" t="s">
        <v>14</v>
      </c>
      <c r="E860" s="144">
        <v>1</v>
      </c>
      <c r="F860" s="146">
        <f>G861+G862+G865</f>
        <v>109.39</v>
      </c>
      <c r="G860" s="28">
        <f>ROUND((E860*F860),2)</f>
        <v>109.39</v>
      </c>
    </row>
    <row r="861" spans="1:7" s="132" customFormat="1" ht="30">
      <c r="A861" s="267" t="s">
        <v>420</v>
      </c>
      <c r="B861" s="267" t="s">
        <v>1289</v>
      </c>
      <c r="C861" s="268" t="s">
        <v>1290</v>
      </c>
      <c r="D861" s="267" t="s">
        <v>14</v>
      </c>
      <c r="E861" s="267">
        <v>1</v>
      </c>
      <c r="F861" s="269">
        <v>3.77</v>
      </c>
      <c r="G861" s="169">
        <f>E861*F861</f>
        <v>3.77</v>
      </c>
    </row>
    <row r="862" spans="1:7" s="132" customFormat="1" ht="30">
      <c r="A862" s="267" t="s">
        <v>421</v>
      </c>
      <c r="B862" s="267" t="s">
        <v>923</v>
      </c>
      <c r="C862" s="268" t="s">
        <v>471</v>
      </c>
      <c r="D862" s="267" t="s">
        <v>14</v>
      </c>
      <c r="E862" s="267">
        <v>1</v>
      </c>
      <c r="F862" s="269">
        <f>ROUND(35.82,2)</f>
        <v>35.82</v>
      </c>
      <c r="G862" s="169">
        <f>ROUND(E862*F862,2)</f>
        <v>35.82</v>
      </c>
    </row>
    <row r="863" spans="1:7" s="132" customFormat="1" ht="30">
      <c r="A863" s="137"/>
      <c r="B863" s="138" t="s">
        <v>419</v>
      </c>
      <c r="C863" s="139" t="s">
        <v>929</v>
      </c>
      <c r="D863" s="138" t="s">
        <v>14</v>
      </c>
      <c r="E863" s="138">
        <v>1</v>
      </c>
      <c r="F863" s="143">
        <v>35.82</v>
      </c>
      <c r="G863" s="107">
        <f>ROUND(E863*F863,2)</f>
        <v>35.82</v>
      </c>
    </row>
    <row r="864" spans="1:7" s="132" customFormat="1" ht="15.75">
      <c r="A864" s="137"/>
      <c r="B864" s="138"/>
      <c r="C864" s="139"/>
      <c r="D864" s="138"/>
      <c r="E864" s="138" t="s">
        <v>7</v>
      </c>
      <c r="F864" s="143"/>
      <c r="G864" s="107">
        <f>ROUND(SUM(G863:G863),2)</f>
        <v>35.82</v>
      </c>
    </row>
    <row r="865" spans="1:7" s="132" customFormat="1" ht="15.75">
      <c r="A865" s="267" t="s">
        <v>422</v>
      </c>
      <c r="B865" s="267" t="s">
        <v>924</v>
      </c>
      <c r="C865" s="268" t="s">
        <v>472</v>
      </c>
      <c r="D865" s="267" t="s">
        <v>14</v>
      </c>
      <c r="E865" s="267">
        <v>2</v>
      </c>
      <c r="F865" s="269">
        <f>G867</f>
        <v>34.9</v>
      </c>
      <c r="G865" s="169">
        <f>ROUND(E865*F865,2)</f>
        <v>69.8</v>
      </c>
    </row>
    <row r="866" spans="1:7" s="132" customFormat="1" ht="15.75">
      <c r="A866" s="137"/>
      <c r="B866" s="138" t="s">
        <v>423</v>
      </c>
      <c r="C866" s="139" t="s">
        <v>1402</v>
      </c>
      <c r="D866" s="138" t="s">
        <v>14</v>
      </c>
      <c r="E866" s="138">
        <v>1</v>
      </c>
      <c r="F866" s="143">
        <v>34.9</v>
      </c>
      <c r="G866" s="107">
        <f>ROUND(E866*F866,2)</f>
        <v>34.9</v>
      </c>
    </row>
    <row r="867" spans="1:7" s="132" customFormat="1" ht="15.75">
      <c r="A867" s="137"/>
      <c r="B867" s="138"/>
      <c r="C867" s="139"/>
      <c r="D867" s="138"/>
      <c r="E867" s="138" t="s">
        <v>7</v>
      </c>
      <c r="F867" s="143"/>
      <c r="G867" s="107">
        <f>ROUND(SUM(G866:G866),2)</f>
        <v>34.9</v>
      </c>
    </row>
    <row r="868" spans="1:7" s="176" customFormat="1" ht="77.25">
      <c r="A868" s="144" t="s">
        <v>268</v>
      </c>
      <c r="B868" s="145" t="s">
        <v>1204</v>
      </c>
      <c r="C868" s="145" t="s">
        <v>1299</v>
      </c>
      <c r="D868" s="144" t="s">
        <v>263</v>
      </c>
      <c r="E868" s="144">
        <f>1.2*2.8</f>
        <v>3.36</v>
      </c>
      <c r="F868" s="146">
        <f>ROUND((G869+G875),2)-0.01</f>
        <v>908.11</v>
      </c>
      <c r="G868" s="28">
        <f>ROUND((E868*F868),2)</f>
        <v>3051.25</v>
      </c>
    </row>
    <row r="869" spans="1:7" s="132" customFormat="1" ht="75">
      <c r="A869" s="137" t="s">
        <v>278</v>
      </c>
      <c r="B869" s="138" t="s">
        <v>925</v>
      </c>
      <c r="C869" s="139" t="s">
        <v>926</v>
      </c>
      <c r="D869" s="138" t="s">
        <v>0</v>
      </c>
      <c r="E869" s="138">
        <v>1</v>
      </c>
      <c r="F869" s="143">
        <f>G874</f>
        <v>872.3</v>
      </c>
      <c r="G869" s="115">
        <f>ROUND(E869*F869,2)</f>
        <v>872.3</v>
      </c>
    </row>
    <row r="870" spans="1:7" s="132" customFormat="1" ht="15.75">
      <c r="A870" s="137"/>
      <c r="B870" s="138" t="s">
        <v>136</v>
      </c>
      <c r="C870" s="139" t="s">
        <v>555</v>
      </c>
      <c r="D870" s="138" t="s">
        <v>5</v>
      </c>
      <c r="E870" s="138">
        <v>7.359999999999999</v>
      </c>
      <c r="F870" s="143">
        <v>6.29</v>
      </c>
      <c r="G870" s="107">
        <f>ROUND(E870*F870,2)</f>
        <v>46.29</v>
      </c>
    </row>
    <row r="871" spans="1:7" s="132" customFormat="1" ht="15.75">
      <c r="A871" s="137"/>
      <c r="B871" s="138" t="s">
        <v>144</v>
      </c>
      <c r="C871" s="139" t="s">
        <v>556</v>
      </c>
      <c r="D871" s="138" t="s">
        <v>5</v>
      </c>
      <c r="E871" s="138">
        <v>30.359999999999996</v>
      </c>
      <c r="F871" s="143">
        <v>5</v>
      </c>
      <c r="G871" s="107">
        <f>ROUND(E871*F871,2)</f>
        <v>151.8</v>
      </c>
    </row>
    <row r="872" spans="1:7" s="132" customFormat="1" ht="30">
      <c r="A872" s="137"/>
      <c r="B872" s="138" t="s">
        <v>597</v>
      </c>
      <c r="C872" s="139" t="s">
        <v>598</v>
      </c>
      <c r="D872" s="138" t="s">
        <v>6</v>
      </c>
      <c r="E872" s="138">
        <v>21.63</v>
      </c>
      <c r="F872" s="143">
        <v>12.54</v>
      </c>
      <c r="G872" s="107">
        <f>ROUND(E872*F872,2)</f>
        <v>271.24</v>
      </c>
    </row>
    <row r="873" spans="1:7" s="132" customFormat="1" ht="30">
      <c r="A873" s="137"/>
      <c r="B873" s="138" t="s">
        <v>673</v>
      </c>
      <c r="C873" s="139" t="s">
        <v>674</v>
      </c>
      <c r="D873" s="138" t="s">
        <v>6</v>
      </c>
      <c r="E873" s="138">
        <v>21.63</v>
      </c>
      <c r="F873" s="143">
        <v>18.63</v>
      </c>
      <c r="G873" s="107">
        <f>ROUND(E873*F873,2)</f>
        <v>402.97</v>
      </c>
    </row>
    <row r="874" spans="1:7" s="132" customFormat="1" ht="15.75">
      <c r="A874" s="137"/>
      <c r="B874" s="138"/>
      <c r="C874" s="139"/>
      <c r="D874" s="138" t="s">
        <v>6</v>
      </c>
      <c r="E874" s="138" t="s">
        <v>7</v>
      </c>
      <c r="F874" s="143"/>
      <c r="G874" s="107">
        <f>ROUND(SUM(G870:G873),2)</f>
        <v>872.3</v>
      </c>
    </row>
    <row r="875" spans="1:7" s="266" customFormat="1" ht="30">
      <c r="A875" s="137" t="s">
        <v>279</v>
      </c>
      <c r="B875" s="138" t="s">
        <v>927</v>
      </c>
      <c r="C875" s="139" t="s">
        <v>928</v>
      </c>
      <c r="D875" s="138" t="s">
        <v>14</v>
      </c>
      <c r="E875" s="138">
        <v>1</v>
      </c>
      <c r="F875" s="143">
        <f>ROUND(35.82,2)</f>
        <v>35.82</v>
      </c>
      <c r="G875" s="115">
        <f>ROUND(E875*F875,2)</f>
        <v>35.82</v>
      </c>
    </row>
    <row r="876" spans="1:7" s="266" customFormat="1" ht="30">
      <c r="A876" s="137"/>
      <c r="B876" s="138" t="s">
        <v>419</v>
      </c>
      <c r="C876" s="139" t="s">
        <v>929</v>
      </c>
      <c r="D876" s="138" t="s">
        <v>14</v>
      </c>
      <c r="E876" s="138">
        <v>1</v>
      </c>
      <c r="F876" s="143">
        <v>35.82</v>
      </c>
      <c r="G876" s="107">
        <f>ROUND(E876*F876,2)</f>
        <v>35.82</v>
      </c>
    </row>
    <row r="877" spans="1:7" s="266" customFormat="1" ht="15.75">
      <c r="A877" s="137"/>
      <c r="B877" s="138"/>
      <c r="C877" s="139"/>
      <c r="D877" s="138"/>
      <c r="E877" s="138" t="s">
        <v>7</v>
      </c>
      <c r="F877" s="143"/>
      <c r="G877" s="107">
        <f>ROUND(SUM(G876:G876),2)</f>
        <v>35.82</v>
      </c>
    </row>
    <row r="878" spans="1:7" s="293" customFormat="1" ht="60.75">
      <c r="A878" s="144" t="s">
        <v>425</v>
      </c>
      <c r="B878" s="194" t="s">
        <v>1205</v>
      </c>
      <c r="C878" s="145" t="s">
        <v>587</v>
      </c>
      <c r="D878" s="144" t="s">
        <v>269</v>
      </c>
      <c r="E878" s="279">
        <v>5</v>
      </c>
      <c r="F878" s="146">
        <f>G879+G880+G884-0.02</f>
        <v>10.36</v>
      </c>
      <c r="G878" s="28">
        <f>ROUND((E878*F878),2)</f>
        <v>51.8</v>
      </c>
    </row>
    <row r="879" spans="1:7" s="132" customFormat="1" ht="15.75">
      <c r="A879" s="267" t="s">
        <v>278</v>
      </c>
      <c r="B879" s="267" t="s">
        <v>426</v>
      </c>
      <c r="C879" s="268" t="s">
        <v>1403</v>
      </c>
      <c r="D879" s="267" t="s">
        <v>14</v>
      </c>
      <c r="E879" s="270">
        <v>4</v>
      </c>
      <c r="F879" s="269">
        <v>1.65</v>
      </c>
      <c r="G879" s="169">
        <f>ROUND(E879*F879,2)</f>
        <v>6.6</v>
      </c>
    </row>
    <row r="880" spans="1:7" s="132" customFormat="1" ht="30">
      <c r="A880" s="267" t="s">
        <v>279</v>
      </c>
      <c r="B880" s="267" t="s">
        <v>1028</v>
      </c>
      <c r="C880" s="268" t="s">
        <v>474</v>
      </c>
      <c r="D880" s="267" t="s">
        <v>0</v>
      </c>
      <c r="E880" s="267">
        <f>0.15*0.15</f>
        <v>0.0225</v>
      </c>
      <c r="F880" s="269">
        <f>G883</f>
        <v>41.16</v>
      </c>
      <c r="G880" s="169">
        <f>ROUND(E880*F880,2)</f>
        <v>0.93</v>
      </c>
    </row>
    <row r="881" spans="1:7" s="132" customFormat="1" ht="15.75">
      <c r="A881" s="137"/>
      <c r="B881" s="138" t="s">
        <v>1404</v>
      </c>
      <c r="C881" s="139" t="s">
        <v>1405</v>
      </c>
      <c r="D881" s="138" t="s">
        <v>5</v>
      </c>
      <c r="E881" s="138">
        <v>2</v>
      </c>
      <c r="F881" s="143">
        <v>6.09</v>
      </c>
      <c r="G881" s="107">
        <f>ROUND(E881*F881,2)</f>
        <v>12.18</v>
      </c>
    </row>
    <row r="882" spans="1:7" s="132" customFormat="1" ht="15.75">
      <c r="A882" s="137"/>
      <c r="B882" s="138" t="s">
        <v>119</v>
      </c>
      <c r="C882" s="139" t="s">
        <v>120</v>
      </c>
      <c r="D882" s="138" t="s">
        <v>6</v>
      </c>
      <c r="E882" s="138">
        <v>1.5</v>
      </c>
      <c r="F882" s="143">
        <f>ROUND(19.32,2)</f>
        <v>19.32</v>
      </c>
      <c r="G882" s="107">
        <f>ROUND(E882*F882,2)</f>
        <v>28.98</v>
      </c>
    </row>
    <row r="883" spans="1:7" s="132" customFormat="1" ht="15.75">
      <c r="A883" s="137"/>
      <c r="B883" s="138"/>
      <c r="C883" s="139"/>
      <c r="D883" s="138"/>
      <c r="E883" s="138" t="s">
        <v>7</v>
      </c>
      <c r="F883" s="143"/>
      <c r="G883" s="107">
        <f>ROUND(SUM(G881:G882),2)</f>
        <v>41.16</v>
      </c>
    </row>
    <row r="884" spans="1:7" s="132" customFormat="1" ht="30">
      <c r="A884" s="267" t="s">
        <v>424</v>
      </c>
      <c r="B884" s="267" t="s">
        <v>1206</v>
      </c>
      <c r="C884" s="268" t="s">
        <v>475</v>
      </c>
      <c r="D884" s="267" t="s">
        <v>3</v>
      </c>
      <c r="E884" s="270">
        <f>0.075*4</f>
        <v>0.3</v>
      </c>
      <c r="F884" s="269">
        <f>G890</f>
        <v>9.5</v>
      </c>
      <c r="G884" s="169">
        <f>ROUND(E884*F884,2)</f>
        <v>2.85</v>
      </c>
    </row>
    <row r="885" spans="1:7" s="132" customFormat="1" ht="30">
      <c r="A885" s="137"/>
      <c r="B885" s="138" t="s">
        <v>427</v>
      </c>
      <c r="C885" s="139" t="s">
        <v>930</v>
      </c>
      <c r="D885" s="138" t="s">
        <v>14</v>
      </c>
      <c r="E885" s="138">
        <v>0.035</v>
      </c>
      <c r="F885" s="143">
        <v>48.87</v>
      </c>
      <c r="G885" s="107">
        <f>ROUND(E885*F885,2)</f>
        <v>1.71</v>
      </c>
    </row>
    <row r="886" spans="1:7" s="132" customFormat="1" ht="30">
      <c r="A886" s="137"/>
      <c r="B886" s="138" t="s">
        <v>597</v>
      </c>
      <c r="C886" s="139" t="s">
        <v>598</v>
      </c>
      <c r="D886" s="138" t="s">
        <v>6</v>
      </c>
      <c r="E886" s="138">
        <v>0.2472</v>
      </c>
      <c r="F886" s="143">
        <v>12.54</v>
      </c>
      <c r="G886" s="107">
        <f>ROUND(E886*F886,2)</f>
        <v>3.1</v>
      </c>
    </row>
    <row r="887" spans="1:7" s="132" customFormat="1" ht="15.75">
      <c r="A887" s="137"/>
      <c r="B887" s="138" t="s">
        <v>692</v>
      </c>
      <c r="C887" s="139" t="s">
        <v>693</v>
      </c>
      <c r="D887" s="138" t="s">
        <v>6</v>
      </c>
      <c r="E887" s="138">
        <v>0.2472</v>
      </c>
      <c r="F887" s="143">
        <v>17.3</v>
      </c>
      <c r="G887" s="107">
        <f>ROUND(E887*F887,2)</f>
        <v>4.28</v>
      </c>
    </row>
    <row r="888" spans="1:7" s="132" customFormat="1" ht="30">
      <c r="A888" s="137"/>
      <c r="B888" s="138" t="s">
        <v>428</v>
      </c>
      <c r="C888" s="139" t="s">
        <v>931</v>
      </c>
      <c r="D888" s="138" t="s">
        <v>14</v>
      </c>
      <c r="E888" s="138">
        <v>0.0005</v>
      </c>
      <c r="F888" s="143">
        <v>734.9</v>
      </c>
      <c r="G888" s="107">
        <f>ROUND(E888*F888,2)</f>
        <v>0.37</v>
      </c>
    </row>
    <row r="889" spans="1:7" s="132" customFormat="1" ht="15.75">
      <c r="A889" s="137"/>
      <c r="B889" s="138" t="s">
        <v>429</v>
      </c>
      <c r="C889" s="139" t="s">
        <v>932</v>
      </c>
      <c r="D889" s="138" t="s">
        <v>430</v>
      </c>
      <c r="E889" s="138">
        <v>0.05</v>
      </c>
      <c r="F889" s="143">
        <v>0.8525</v>
      </c>
      <c r="G889" s="107">
        <f>ROUND(E889*F889,2)</f>
        <v>0.04</v>
      </c>
    </row>
    <row r="890" spans="1:7" s="132" customFormat="1" ht="15.75">
      <c r="A890" s="137"/>
      <c r="B890" s="138"/>
      <c r="C890" s="139"/>
      <c r="D890" s="138"/>
      <c r="E890" s="138" t="s">
        <v>7</v>
      </c>
      <c r="F890" s="143"/>
      <c r="G890" s="107">
        <f>ROUND(SUM(G885:G889),2)</f>
        <v>9.5</v>
      </c>
    </row>
    <row r="891" spans="1:7" s="172" customFormat="1" ht="15.75">
      <c r="A891" s="170" t="s">
        <v>162</v>
      </c>
      <c r="B891" s="170"/>
      <c r="C891" s="171"/>
      <c r="D891" s="170"/>
      <c r="E891" s="170"/>
      <c r="F891" s="170" t="s">
        <v>270</v>
      </c>
      <c r="G891" s="169">
        <f>G819+G829+G836+G840+G849+G853+G860+G868+G878</f>
        <v>24721.53</v>
      </c>
    </row>
    <row r="892" spans="1:7" ht="15.75">
      <c r="A892" s="127" t="s">
        <v>37</v>
      </c>
      <c r="B892" s="127"/>
      <c r="C892" s="128" t="s">
        <v>476</v>
      </c>
      <c r="D892" s="127"/>
      <c r="E892" s="127"/>
      <c r="F892" s="127"/>
      <c r="G892" s="127"/>
    </row>
    <row r="893" spans="1:7" ht="31.5">
      <c r="A893" s="26" t="s">
        <v>271</v>
      </c>
      <c r="B893" s="26" t="s">
        <v>933</v>
      </c>
      <c r="C893" s="27" t="s">
        <v>530</v>
      </c>
      <c r="D893" s="26" t="s">
        <v>14</v>
      </c>
      <c r="E893" s="26">
        <v>4</v>
      </c>
      <c r="F893" s="26">
        <f>ROUND(F894,2)</f>
        <v>8.44</v>
      </c>
      <c r="G893" s="28">
        <f>ROUND((E893*F893),2)</f>
        <v>33.76</v>
      </c>
    </row>
    <row r="894" spans="1:7" ht="30">
      <c r="A894" s="29"/>
      <c r="B894" s="29" t="s">
        <v>933</v>
      </c>
      <c r="C894" s="30" t="s">
        <v>934</v>
      </c>
      <c r="D894" s="29" t="s">
        <v>14</v>
      </c>
      <c r="E894" s="29">
        <v>1</v>
      </c>
      <c r="F894" s="29">
        <f>ROUND(8.4438,2)</f>
        <v>8.44</v>
      </c>
      <c r="G894" s="29">
        <f>ROUND(E894*F894,2)</f>
        <v>8.44</v>
      </c>
    </row>
    <row r="895" spans="1:7" ht="15.75">
      <c r="A895" s="29"/>
      <c r="B895" s="29" t="s">
        <v>24</v>
      </c>
      <c r="C895" s="30" t="s">
        <v>935</v>
      </c>
      <c r="D895" s="29" t="s">
        <v>14</v>
      </c>
      <c r="E895" s="29">
        <v>1</v>
      </c>
      <c r="F895" s="29">
        <v>4.88</v>
      </c>
      <c r="G895" s="29">
        <f>ROUND(E895*F895,2)</f>
        <v>4.88</v>
      </c>
    </row>
    <row r="896" spans="1:7" ht="30">
      <c r="A896" s="29"/>
      <c r="B896" s="29" t="s">
        <v>669</v>
      </c>
      <c r="C896" s="30" t="s">
        <v>670</v>
      </c>
      <c r="D896" s="29" t="s">
        <v>6</v>
      </c>
      <c r="E896" s="29">
        <v>0.20600000000000002</v>
      </c>
      <c r="F896" s="29">
        <v>17.3</v>
      </c>
      <c r="G896" s="29">
        <f>ROUND(E896*F896,2)</f>
        <v>3.56</v>
      </c>
    </row>
    <row r="897" spans="1:7" ht="15.75">
      <c r="A897" s="29"/>
      <c r="B897" s="29"/>
      <c r="C897" s="30"/>
      <c r="D897" s="29"/>
      <c r="E897" s="29" t="s">
        <v>7</v>
      </c>
      <c r="F897" s="29"/>
      <c r="G897" s="29">
        <f>ROUND(SUM(G895:G896),2)</f>
        <v>8.44</v>
      </c>
    </row>
    <row r="898" spans="1:7" ht="31.5">
      <c r="A898" s="26" t="s">
        <v>272</v>
      </c>
      <c r="B898" s="26" t="s">
        <v>936</v>
      </c>
      <c r="C898" s="27" t="s">
        <v>531</v>
      </c>
      <c r="D898" s="26" t="s">
        <v>14</v>
      </c>
      <c r="E898" s="26">
        <v>1</v>
      </c>
      <c r="F898" s="120">
        <f>ROUND(F899,2)</f>
        <v>10.65</v>
      </c>
      <c r="G898" s="28">
        <f>ROUND((E898*F898),2)</f>
        <v>10.65</v>
      </c>
    </row>
    <row r="899" spans="1:7" ht="30">
      <c r="A899" s="104"/>
      <c r="B899" s="104" t="s">
        <v>936</v>
      </c>
      <c r="C899" s="105" t="s">
        <v>937</v>
      </c>
      <c r="D899" s="104" t="s">
        <v>14</v>
      </c>
      <c r="E899" s="104">
        <v>1</v>
      </c>
      <c r="F899" s="155">
        <f>G902</f>
        <v>10.65</v>
      </c>
      <c r="G899" s="178">
        <f>ROUND(E899*F899,2)</f>
        <v>10.65</v>
      </c>
    </row>
    <row r="900" spans="1:7" ht="15.75">
      <c r="A900" s="104"/>
      <c r="B900" s="104" t="s">
        <v>273</v>
      </c>
      <c r="C900" s="105" t="s">
        <v>938</v>
      </c>
      <c r="D900" s="104" t="s">
        <v>14</v>
      </c>
      <c r="E900" s="104">
        <v>1</v>
      </c>
      <c r="F900" s="155">
        <v>6.2</v>
      </c>
      <c r="G900" s="178">
        <f>ROUND(E900*F900,2)</f>
        <v>6.2</v>
      </c>
    </row>
    <row r="901" spans="1:7" ht="30">
      <c r="A901" s="104"/>
      <c r="B901" s="104" t="s">
        <v>669</v>
      </c>
      <c r="C901" s="105" t="s">
        <v>670</v>
      </c>
      <c r="D901" s="104" t="s">
        <v>6</v>
      </c>
      <c r="E901" s="104">
        <v>0.2575</v>
      </c>
      <c r="F901" s="155">
        <v>17.3</v>
      </c>
      <c r="G901" s="178">
        <f>ROUND(E901*F901,2)</f>
        <v>4.45</v>
      </c>
    </row>
    <row r="902" spans="1:7" ht="15.75">
      <c r="A902" s="104"/>
      <c r="B902" s="104"/>
      <c r="C902" s="105"/>
      <c r="D902" s="104"/>
      <c r="E902" s="104" t="s">
        <v>7</v>
      </c>
      <c r="F902" s="155"/>
      <c r="G902" s="178">
        <f>ROUND(SUM(G900:G901),2)</f>
        <v>10.65</v>
      </c>
    </row>
    <row r="903" spans="1:8" s="29" customFormat="1" ht="15.75">
      <c r="A903" s="193" t="s">
        <v>274</v>
      </c>
      <c r="B903" s="179" t="s">
        <v>939</v>
      </c>
      <c r="C903" s="145" t="s">
        <v>1225</v>
      </c>
      <c r="D903" s="179" t="s">
        <v>14</v>
      </c>
      <c r="E903" s="195">
        <v>4</v>
      </c>
      <c r="F903" s="33">
        <f>ROUND(F904,2)</f>
        <v>944.41</v>
      </c>
      <c r="G903" s="196">
        <f>ROUND((E903*F903),2)</f>
        <v>3777.64</v>
      </c>
      <c r="H903" s="180">
        <f>ROUND((F903*1.2592),2)</f>
        <v>1189.2</v>
      </c>
    </row>
    <row r="904" spans="1:8" s="29" customFormat="1" ht="30">
      <c r="A904" s="181" t="s">
        <v>151</v>
      </c>
      <c r="B904" s="182" t="s">
        <v>939</v>
      </c>
      <c r="C904" s="135" t="s">
        <v>940</v>
      </c>
      <c r="D904" s="183" t="s">
        <v>14</v>
      </c>
      <c r="E904" s="184">
        <v>1</v>
      </c>
      <c r="F904" s="200">
        <f>ROUND(944.41,2)</f>
        <v>944.41</v>
      </c>
      <c r="G904" s="186">
        <f>ROUND(E904*F904,2)</f>
        <v>944.41</v>
      </c>
      <c r="H904" s="180"/>
    </row>
    <row r="905" spans="1:8" s="29" customFormat="1" ht="15">
      <c r="A905" s="187"/>
      <c r="B905" s="188" t="s">
        <v>275</v>
      </c>
      <c r="C905" s="139" t="s">
        <v>941</v>
      </c>
      <c r="D905" s="189" t="s">
        <v>14</v>
      </c>
      <c r="E905" s="190">
        <v>1</v>
      </c>
      <c r="F905" s="199">
        <v>944.41</v>
      </c>
      <c r="G905" s="192">
        <f>ROUND(E905*F905,2)</f>
        <v>944.41</v>
      </c>
      <c r="H905" s="180"/>
    </row>
    <row r="906" spans="1:8" s="29" customFormat="1" ht="15">
      <c r="A906" s="187"/>
      <c r="B906" s="188"/>
      <c r="C906" s="139"/>
      <c r="D906" s="189"/>
      <c r="E906" s="190" t="s">
        <v>7</v>
      </c>
      <c r="F906" s="199"/>
      <c r="G906" s="192">
        <f>ROUND(SUM(G905:G905),2)</f>
        <v>944.41</v>
      </c>
      <c r="H906" s="180"/>
    </row>
    <row r="907" spans="1:8" s="29" customFormat="1" ht="30.75">
      <c r="A907" s="193" t="s">
        <v>276</v>
      </c>
      <c r="B907" s="179" t="s">
        <v>1029</v>
      </c>
      <c r="C907" s="145" t="s">
        <v>532</v>
      </c>
      <c r="D907" s="179" t="s">
        <v>14</v>
      </c>
      <c r="E907" s="195">
        <v>4</v>
      </c>
      <c r="F907" s="33">
        <f>ROUND(F908,2)</f>
        <v>919.32</v>
      </c>
      <c r="G907" s="196">
        <f>ROUND((E907*F907),2)</f>
        <v>3677.28</v>
      </c>
      <c r="H907" s="180">
        <f>ROUND((F907*1.2592),2)</f>
        <v>1157.61</v>
      </c>
    </row>
    <row r="908" spans="1:8" s="29" customFormat="1" ht="30">
      <c r="A908" s="187" t="s">
        <v>162</v>
      </c>
      <c r="B908" s="188" t="s">
        <v>1029</v>
      </c>
      <c r="C908" s="139" t="s">
        <v>477</v>
      </c>
      <c r="D908" s="189" t="s">
        <v>14</v>
      </c>
      <c r="E908" s="190">
        <v>1</v>
      </c>
      <c r="F908" s="199">
        <f>G911</f>
        <v>919.32</v>
      </c>
      <c r="G908" s="192">
        <f>ROUND(E908*F908,2)</f>
        <v>919.32</v>
      </c>
      <c r="H908" s="180"/>
    </row>
    <row r="909" spans="1:8" s="29" customFormat="1" ht="30">
      <c r="A909" s="187"/>
      <c r="B909" s="188" t="s">
        <v>1406</v>
      </c>
      <c r="C909" s="139" t="s">
        <v>1407</v>
      </c>
      <c r="D909" s="189" t="s">
        <v>14</v>
      </c>
      <c r="E909" s="190">
        <v>4</v>
      </c>
      <c r="F909" s="199">
        <v>181.27</v>
      </c>
      <c r="G909" s="192">
        <f>ROUND(E909*F909,2)</f>
        <v>725.08</v>
      </c>
      <c r="H909" s="180"/>
    </row>
    <row r="910" spans="1:8" s="29" customFormat="1" ht="15">
      <c r="A910" s="187"/>
      <c r="B910" s="188" t="s">
        <v>1098</v>
      </c>
      <c r="C910" s="139" t="s">
        <v>1099</v>
      </c>
      <c r="D910" s="189" t="s">
        <v>6</v>
      </c>
      <c r="E910" s="190">
        <v>8</v>
      </c>
      <c r="F910" s="199">
        <f>ROUND(24.28,2)</f>
        <v>24.28</v>
      </c>
      <c r="G910" s="192">
        <f>ROUND(E910*F910,2)</f>
        <v>194.24</v>
      </c>
      <c r="H910" s="180"/>
    </row>
    <row r="911" spans="1:8" s="29" customFormat="1" ht="15">
      <c r="A911" s="187"/>
      <c r="B911" s="188"/>
      <c r="C911" s="139"/>
      <c r="D911" s="189"/>
      <c r="E911" s="190" t="s">
        <v>7</v>
      </c>
      <c r="F911" s="199"/>
      <c r="G911" s="192">
        <f>ROUND(SUM(G909:G910),2)</f>
        <v>919.32</v>
      </c>
      <c r="H911" s="180"/>
    </row>
    <row r="912" spans="1:8" s="29" customFormat="1" ht="30">
      <c r="A912" s="193" t="s">
        <v>280</v>
      </c>
      <c r="B912" s="194" t="s">
        <v>1207</v>
      </c>
      <c r="C912" s="145" t="s">
        <v>277</v>
      </c>
      <c r="D912" s="179" t="s">
        <v>14</v>
      </c>
      <c r="E912" s="195">
        <v>4</v>
      </c>
      <c r="F912" s="33">
        <f>ROUND((F913+F916),2)</f>
        <v>664.12</v>
      </c>
      <c r="G912" s="196">
        <f>ROUND((E912*F912),2)</f>
        <v>2656.48</v>
      </c>
      <c r="H912" s="180">
        <f>ROUND((F912*1.2592),2)</f>
        <v>836.26</v>
      </c>
    </row>
    <row r="913" spans="1:8" s="29" customFormat="1" ht="45">
      <c r="A913" s="181" t="s">
        <v>278</v>
      </c>
      <c r="B913" s="197" t="s">
        <v>942</v>
      </c>
      <c r="C913" s="135" t="s">
        <v>943</v>
      </c>
      <c r="D913" s="183" t="s">
        <v>14</v>
      </c>
      <c r="E913" s="184">
        <v>1</v>
      </c>
      <c r="F913" s="185">
        <f>G915</f>
        <v>22.04</v>
      </c>
      <c r="G913" s="186">
        <f>ROUND(E913*F913,2)</f>
        <v>22.04</v>
      </c>
      <c r="H913" s="180"/>
    </row>
    <row r="914" spans="1:8" s="29" customFormat="1" ht="30">
      <c r="A914" s="187"/>
      <c r="B914" s="198" t="s">
        <v>944</v>
      </c>
      <c r="C914" s="139" t="s">
        <v>945</v>
      </c>
      <c r="D914" s="189" t="s">
        <v>6</v>
      </c>
      <c r="E914" s="190">
        <v>2.06</v>
      </c>
      <c r="F914" s="199">
        <v>10.7</v>
      </c>
      <c r="G914" s="192">
        <f>ROUND(E914*F914,2)</f>
        <v>22.04</v>
      </c>
      <c r="H914" s="180"/>
    </row>
    <row r="915" spans="1:8" s="29" customFormat="1" ht="15.75">
      <c r="A915" s="187"/>
      <c r="B915" s="198"/>
      <c r="C915" s="139"/>
      <c r="D915" s="189"/>
      <c r="E915" s="190" t="s">
        <v>7</v>
      </c>
      <c r="F915" s="191"/>
      <c r="G915" s="192">
        <f>ROUND(SUM(G914:G914),2)</f>
        <v>22.04</v>
      </c>
      <c r="H915" s="180"/>
    </row>
    <row r="916" spans="1:8" s="29" customFormat="1" ht="15.75">
      <c r="A916" s="187" t="s">
        <v>279</v>
      </c>
      <c r="B916" s="198" t="s">
        <v>1266</v>
      </c>
      <c r="C916" s="139" t="s">
        <v>478</v>
      </c>
      <c r="D916" s="189" t="s">
        <v>14</v>
      </c>
      <c r="E916" s="190"/>
      <c r="F916" s="191">
        <f>'COTAÇÕES DE MERCADO'!F25:G25</f>
        <v>642.08</v>
      </c>
      <c r="G916" s="192"/>
      <c r="H916" s="180"/>
    </row>
    <row r="917" spans="1:8" s="29" customFormat="1" ht="31.5">
      <c r="A917" s="193" t="s">
        <v>288</v>
      </c>
      <c r="B917" s="179" t="s">
        <v>1150</v>
      </c>
      <c r="C917" s="145" t="s">
        <v>533</v>
      </c>
      <c r="D917" s="179" t="s">
        <v>14</v>
      </c>
      <c r="E917" s="195">
        <v>4</v>
      </c>
      <c r="F917" s="33">
        <f>ROUND(F918,2)-0.06</f>
        <v>171.18</v>
      </c>
      <c r="G917" s="196">
        <f>ROUND((E917*F917),2)</f>
        <v>684.72</v>
      </c>
      <c r="H917" s="180">
        <f>ROUND((F917*1.2592),2)</f>
        <v>215.55</v>
      </c>
    </row>
    <row r="918" spans="1:8" s="29" customFormat="1" ht="15">
      <c r="A918" s="181" t="s">
        <v>151</v>
      </c>
      <c r="B918" s="197" t="s">
        <v>1150</v>
      </c>
      <c r="C918" s="135" t="s">
        <v>479</v>
      </c>
      <c r="D918" s="183" t="s">
        <v>14</v>
      </c>
      <c r="E918" s="184">
        <v>1</v>
      </c>
      <c r="F918" s="200">
        <f>G929</f>
        <v>171.24</v>
      </c>
      <c r="G918" s="186">
        <f>ROUND(E918*F918,2)</f>
        <v>171.24</v>
      </c>
      <c r="H918" s="180"/>
    </row>
    <row r="919" spans="1:8" s="29" customFormat="1" ht="15">
      <c r="A919" s="187"/>
      <c r="B919" s="198" t="s">
        <v>281</v>
      </c>
      <c r="C919" s="139" t="s">
        <v>1408</v>
      </c>
      <c r="D919" s="189" t="s">
        <v>14</v>
      </c>
      <c r="E919" s="190">
        <v>60.48</v>
      </c>
      <c r="F919" s="199">
        <v>0.25</v>
      </c>
      <c r="G919" s="192">
        <f>ROUND(E919*F919,2)</f>
        <v>15.12</v>
      </c>
      <c r="H919" s="180"/>
    </row>
    <row r="920" spans="1:8" s="29" customFormat="1" ht="15">
      <c r="A920" s="187"/>
      <c r="B920" s="198" t="s">
        <v>282</v>
      </c>
      <c r="C920" s="139" t="s">
        <v>1372</v>
      </c>
      <c r="D920" s="189" t="s">
        <v>1</v>
      </c>
      <c r="E920" s="190">
        <v>0.004</v>
      </c>
      <c r="F920" s="199">
        <v>62.5</v>
      </c>
      <c r="G920" s="192">
        <f>ROUND(E920*F920,2)</f>
        <v>0.25</v>
      </c>
      <c r="H920" s="180"/>
    </row>
    <row r="921" spans="1:8" s="29" customFormat="1" ht="15">
      <c r="A921" s="187"/>
      <c r="B921" s="198" t="s">
        <v>283</v>
      </c>
      <c r="C921" s="139" t="s">
        <v>1409</v>
      </c>
      <c r="D921" s="189" t="s">
        <v>1</v>
      </c>
      <c r="E921" s="190">
        <v>0.0365</v>
      </c>
      <c r="F921" s="199">
        <v>62.5</v>
      </c>
      <c r="G921" s="192">
        <f>ROUND(E921*F921,2)</f>
        <v>2.28</v>
      </c>
      <c r="H921" s="180"/>
    </row>
    <row r="922" spans="1:8" s="29" customFormat="1" ht="15">
      <c r="A922" s="187"/>
      <c r="B922" s="198" t="s">
        <v>284</v>
      </c>
      <c r="C922" s="139" t="s">
        <v>1385</v>
      </c>
      <c r="D922" s="189" t="s">
        <v>5</v>
      </c>
      <c r="E922" s="190">
        <v>18.5084</v>
      </c>
      <c r="F922" s="199">
        <v>0.41</v>
      </c>
      <c r="G922" s="192">
        <f>ROUND(E922*F922,2)</f>
        <v>7.59</v>
      </c>
      <c r="H922" s="180"/>
    </row>
    <row r="923" spans="1:8" s="29" customFormat="1" ht="30">
      <c r="A923" s="187"/>
      <c r="B923" s="198" t="s">
        <v>285</v>
      </c>
      <c r="C923" s="139" t="s">
        <v>1410</v>
      </c>
      <c r="D923" s="189" t="s">
        <v>0</v>
      </c>
      <c r="E923" s="190">
        <v>0.06</v>
      </c>
      <c r="F923" s="199">
        <v>31.61</v>
      </c>
      <c r="G923" s="192">
        <f>ROUND(E923*F923,2)</f>
        <v>1.9</v>
      </c>
      <c r="H923" s="180"/>
    </row>
    <row r="924" spans="1:8" s="29" customFormat="1" ht="15">
      <c r="A924" s="187"/>
      <c r="B924" s="198" t="s">
        <v>286</v>
      </c>
      <c r="C924" s="139" t="s">
        <v>1386</v>
      </c>
      <c r="D924" s="189" t="s">
        <v>5</v>
      </c>
      <c r="E924" s="190">
        <v>3.0096</v>
      </c>
      <c r="F924" s="199">
        <v>0.76</v>
      </c>
      <c r="G924" s="192">
        <f>ROUND(E924*F924,2)</f>
        <v>2.29</v>
      </c>
      <c r="H924" s="180"/>
    </row>
    <row r="925" spans="1:8" s="29" customFormat="1" ht="15">
      <c r="A925" s="187"/>
      <c r="B925" s="198" t="s">
        <v>287</v>
      </c>
      <c r="C925" s="139" t="s">
        <v>1411</v>
      </c>
      <c r="D925" s="189" t="s">
        <v>1</v>
      </c>
      <c r="E925" s="190">
        <v>0.0653</v>
      </c>
      <c r="F925" s="199">
        <v>51.43</v>
      </c>
      <c r="G925" s="192">
        <f>ROUND(E925*F925,2)</f>
        <v>3.36</v>
      </c>
      <c r="H925" s="180"/>
    </row>
    <row r="926" spans="1:8" s="29" customFormat="1" ht="15">
      <c r="A926" s="187"/>
      <c r="B926" s="198" t="s">
        <v>186</v>
      </c>
      <c r="C926" s="139" t="s">
        <v>1412</v>
      </c>
      <c r="D926" s="189" t="s">
        <v>5</v>
      </c>
      <c r="E926" s="190">
        <v>2.156</v>
      </c>
      <c r="F926" s="199">
        <v>5.14</v>
      </c>
      <c r="G926" s="192">
        <f>ROUND(E926*F926,2)</f>
        <v>11.08</v>
      </c>
      <c r="H926" s="180"/>
    </row>
    <row r="927" spans="1:8" s="29" customFormat="1" ht="15">
      <c r="A927" s="187"/>
      <c r="B927" s="198" t="s">
        <v>119</v>
      </c>
      <c r="C927" s="139" t="s">
        <v>120</v>
      </c>
      <c r="D927" s="189" t="s">
        <v>6</v>
      </c>
      <c r="E927" s="190">
        <v>4.4832</v>
      </c>
      <c r="F927" s="199">
        <f>ROUND(19.32,2)</f>
        <v>19.32</v>
      </c>
      <c r="G927" s="192">
        <f>ROUND(E927*F927,2)</f>
        <v>86.62</v>
      </c>
      <c r="H927" s="180"/>
    </row>
    <row r="928" spans="1:8" s="29" customFormat="1" ht="15">
      <c r="A928" s="187"/>
      <c r="B928" s="198" t="s">
        <v>121</v>
      </c>
      <c r="C928" s="139" t="s">
        <v>1102</v>
      </c>
      <c r="D928" s="189" t="s">
        <v>6</v>
      </c>
      <c r="E928" s="190">
        <v>1.6789</v>
      </c>
      <c r="F928" s="199">
        <f>ROUND(24.27,2)</f>
        <v>24.27</v>
      </c>
      <c r="G928" s="192">
        <f>ROUND(E928*F928,2)</f>
        <v>40.75</v>
      </c>
      <c r="H928" s="180"/>
    </row>
    <row r="929" spans="1:8" s="29" customFormat="1" ht="15">
      <c r="A929" s="187"/>
      <c r="B929" s="198"/>
      <c r="C929" s="139"/>
      <c r="D929" s="189"/>
      <c r="E929" s="190" t="s">
        <v>7</v>
      </c>
      <c r="F929" s="199"/>
      <c r="G929" s="192">
        <f>ROUND(SUM(G919:G928),2)</f>
        <v>171.24</v>
      </c>
      <c r="H929" s="180"/>
    </row>
    <row r="930" spans="1:9" s="29" customFormat="1" ht="31.5">
      <c r="A930" s="193" t="s">
        <v>290</v>
      </c>
      <c r="B930" s="179" t="s">
        <v>1030</v>
      </c>
      <c r="C930" s="145" t="s">
        <v>534</v>
      </c>
      <c r="D930" s="179" t="s">
        <v>1</v>
      </c>
      <c r="E930" s="195">
        <f>0.11*4</f>
        <v>0.44</v>
      </c>
      <c r="F930" s="33">
        <f>ROUND(F934,2)-0.01</f>
        <v>43.910000000000004</v>
      </c>
      <c r="G930" s="196">
        <f>ROUND((E930*F930),2)</f>
        <v>19.32</v>
      </c>
      <c r="H930" s="180">
        <f>ROUND((F930*1.2592),2)</f>
        <v>55.29</v>
      </c>
      <c r="I930" s="29" t="s">
        <v>289</v>
      </c>
    </row>
    <row r="931" spans="1:8" s="29" customFormat="1" ht="15">
      <c r="A931" s="187"/>
      <c r="B931" s="188" t="s">
        <v>1030</v>
      </c>
      <c r="C931" s="139" t="s">
        <v>480</v>
      </c>
      <c r="D931" s="189" t="s">
        <v>1</v>
      </c>
      <c r="E931" s="190">
        <v>1</v>
      </c>
      <c r="F931" s="199">
        <f>G933</f>
        <v>76.43</v>
      </c>
      <c r="G931" s="192">
        <f>ROUND(E931*F931,2)</f>
        <v>76.43</v>
      </c>
      <c r="H931" s="180"/>
    </row>
    <row r="932" spans="1:8" s="29" customFormat="1" ht="15">
      <c r="A932" s="187"/>
      <c r="B932" s="188" t="s">
        <v>119</v>
      </c>
      <c r="C932" s="139" t="s">
        <v>120</v>
      </c>
      <c r="D932" s="189" t="s">
        <v>6</v>
      </c>
      <c r="E932" s="190">
        <v>3.956</v>
      </c>
      <c r="F932" s="199">
        <f>ROUND(19.32,2)</f>
        <v>19.32</v>
      </c>
      <c r="G932" s="192">
        <f>ROUND(E932*F932,2)</f>
        <v>76.43</v>
      </c>
      <c r="H932" s="180"/>
    </row>
    <row r="933" spans="1:8" s="29" customFormat="1" ht="15">
      <c r="A933" s="187"/>
      <c r="B933" s="188"/>
      <c r="C933" s="139"/>
      <c r="D933" s="189"/>
      <c r="E933" s="190" t="s">
        <v>7</v>
      </c>
      <c r="F933" s="199"/>
      <c r="G933" s="192">
        <f>ROUND(SUM(G932:G932),2)</f>
        <v>76.43</v>
      </c>
      <c r="H933" s="180"/>
    </row>
    <row r="934" spans="1:8" s="29" customFormat="1" ht="45">
      <c r="A934" s="187"/>
      <c r="B934" s="188" t="s">
        <v>946</v>
      </c>
      <c r="C934" s="139" t="s">
        <v>947</v>
      </c>
      <c r="D934" s="189" t="s">
        <v>1</v>
      </c>
      <c r="E934" s="190">
        <v>1</v>
      </c>
      <c r="F934" s="468">
        <f>ROUND(43.91508,2)</f>
        <v>43.92</v>
      </c>
      <c r="G934" s="192">
        <f>ROUND(E934*F934,2)</f>
        <v>43.92</v>
      </c>
      <c r="H934" s="180"/>
    </row>
    <row r="935" spans="1:8" s="29" customFormat="1" ht="30">
      <c r="A935" s="187"/>
      <c r="B935" s="188" t="s">
        <v>597</v>
      </c>
      <c r="C935" s="139" t="s">
        <v>598</v>
      </c>
      <c r="D935" s="189" t="s">
        <v>6</v>
      </c>
      <c r="E935" s="190">
        <v>3.502</v>
      </c>
      <c r="F935" s="199">
        <v>12.54</v>
      </c>
      <c r="G935" s="192">
        <f>ROUND(E935*F935,2)</f>
        <v>43.92</v>
      </c>
      <c r="H935" s="180"/>
    </row>
    <row r="936" spans="1:8" s="29" customFormat="1" ht="15">
      <c r="A936" s="187"/>
      <c r="B936" s="188"/>
      <c r="C936" s="139"/>
      <c r="D936" s="189"/>
      <c r="E936" s="190" t="s">
        <v>7</v>
      </c>
      <c r="F936" s="199"/>
      <c r="G936" s="192">
        <f>ROUND(SUM(G935:G935),2)</f>
        <v>43.92</v>
      </c>
      <c r="H936" s="180"/>
    </row>
    <row r="937" spans="1:8" s="29" customFormat="1" ht="30.75">
      <c r="A937" s="193" t="s">
        <v>291</v>
      </c>
      <c r="B937" s="179">
        <v>94964</v>
      </c>
      <c r="C937" s="145" t="s">
        <v>535</v>
      </c>
      <c r="D937" s="179" t="s">
        <v>1</v>
      </c>
      <c r="E937" s="195">
        <f>0.11*4</f>
        <v>0.44</v>
      </c>
      <c r="F937" s="33">
        <f>ROUND(F938,2)-0.04</f>
        <v>291.95</v>
      </c>
      <c r="G937" s="196">
        <f>ROUND((E937*F937),2)</f>
        <v>128.46</v>
      </c>
      <c r="H937" s="180">
        <f>ROUND((F937*1.2592),2)</f>
        <v>367.62</v>
      </c>
    </row>
    <row r="938" spans="1:8" s="29" customFormat="1" ht="30">
      <c r="A938" s="187" t="s">
        <v>151</v>
      </c>
      <c r="B938" s="188" t="s">
        <v>1413</v>
      </c>
      <c r="C938" s="139" t="s">
        <v>1414</v>
      </c>
      <c r="D938" s="189" t="s">
        <v>1</v>
      </c>
      <c r="E938" s="190">
        <v>1</v>
      </c>
      <c r="F938" s="199">
        <f>G946</f>
        <v>291.99</v>
      </c>
      <c r="G938" s="192">
        <f>ROUND(E938*F938,2)</f>
        <v>291.99</v>
      </c>
      <c r="H938" s="180"/>
    </row>
    <row r="939" spans="1:8" s="29" customFormat="1" ht="15">
      <c r="A939" s="187"/>
      <c r="B939" s="188" t="s">
        <v>283</v>
      </c>
      <c r="C939" s="139" t="s">
        <v>1409</v>
      </c>
      <c r="D939" s="189" t="s">
        <v>1</v>
      </c>
      <c r="E939" s="190">
        <v>0.587</v>
      </c>
      <c r="F939" s="199">
        <f>ROUND(62.5,2)</f>
        <v>62.5</v>
      </c>
      <c r="G939" s="192">
        <f>ROUND(E939*F939,2)</f>
        <v>36.69</v>
      </c>
      <c r="H939" s="180"/>
    </row>
    <row r="940" spans="1:8" s="29" customFormat="1" ht="15">
      <c r="A940" s="187"/>
      <c r="B940" s="188" t="s">
        <v>284</v>
      </c>
      <c r="C940" s="139" t="s">
        <v>1385</v>
      </c>
      <c r="D940" s="189" t="s">
        <v>5</v>
      </c>
      <c r="E940" s="190">
        <v>322.98</v>
      </c>
      <c r="F940" s="199">
        <f>ROUND(0.41,2)</f>
        <v>0.41</v>
      </c>
      <c r="G940" s="192">
        <f>ROUND(E940*F940,2)</f>
        <v>132.42</v>
      </c>
      <c r="H940" s="180"/>
    </row>
    <row r="941" spans="1:8" s="29" customFormat="1" ht="15">
      <c r="A941" s="187"/>
      <c r="B941" s="188" t="s">
        <v>287</v>
      </c>
      <c r="C941" s="139" t="s">
        <v>1411</v>
      </c>
      <c r="D941" s="189" t="s">
        <v>1</v>
      </c>
      <c r="E941" s="190">
        <v>0.785</v>
      </c>
      <c r="F941" s="199">
        <f>ROUND(51.43,2)</f>
        <v>51.43</v>
      </c>
      <c r="G941" s="192">
        <f>ROUND(E941*F941,2)</f>
        <v>40.37</v>
      </c>
      <c r="H941" s="180"/>
    </row>
    <row r="942" spans="1:8" s="29" customFormat="1" ht="30">
      <c r="A942" s="187"/>
      <c r="B942" s="188" t="s">
        <v>1389</v>
      </c>
      <c r="C942" s="139" t="s">
        <v>1390</v>
      </c>
      <c r="D942" s="189" t="s">
        <v>6</v>
      </c>
      <c r="E942" s="190">
        <v>1.6</v>
      </c>
      <c r="F942" s="199">
        <f>ROUND(20.14,2)</f>
        <v>20.14</v>
      </c>
      <c r="G942" s="192">
        <f>ROUND(E942*F942,2)</f>
        <v>32.22</v>
      </c>
      <c r="H942" s="180"/>
    </row>
    <row r="943" spans="1:8" s="29" customFormat="1" ht="15">
      <c r="A943" s="187"/>
      <c r="B943" s="188" t="s">
        <v>119</v>
      </c>
      <c r="C943" s="139" t="s">
        <v>120</v>
      </c>
      <c r="D943" s="189" t="s">
        <v>6</v>
      </c>
      <c r="E943" s="190">
        <v>2.53</v>
      </c>
      <c r="F943" s="199">
        <f>ROUND(19.32,2)</f>
        <v>19.32</v>
      </c>
      <c r="G943" s="192">
        <f>ROUND(E943*F943,2)</f>
        <v>48.88</v>
      </c>
      <c r="H943" s="180"/>
    </row>
    <row r="944" spans="1:8" s="29" customFormat="1" ht="45">
      <c r="A944" s="187"/>
      <c r="B944" s="188" t="s">
        <v>1391</v>
      </c>
      <c r="C944" s="139" t="s">
        <v>1392</v>
      </c>
      <c r="D944" s="189" t="s">
        <v>142</v>
      </c>
      <c r="E944" s="190">
        <v>0.78</v>
      </c>
      <c r="F944" s="199">
        <f>ROUND(0.29,2)</f>
        <v>0.29</v>
      </c>
      <c r="G944" s="192">
        <f>ROUND(E944*F944,2)</f>
        <v>0.23</v>
      </c>
      <c r="H944" s="180"/>
    </row>
    <row r="945" spans="1:8" s="29" customFormat="1" ht="45">
      <c r="A945" s="187"/>
      <c r="B945" s="188" t="s">
        <v>1393</v>
      </c>
      <c r="C945" s="139" t="s">
        <v>1394</v>
      </c>
      <c r="D945" s="189" t="s">
        <v>143</v>
      </c>
      <c r="E945" s="190">
        <v>0.83</v>
      </c>
      <c r="F945" s="199">
        <f>ROUND(1.42,2)</f>
        <v>1.42</v>
      </c>
      <c r="G945" s="192">
        <f>ROUND(E945*F945,2)</f>
        <v>1.18</v>
      </c>
      <c r="H945" s="180"/>
    </row>
    <row r="946" spans="1:8" s="29" customFormat="1" ht="15">
      <c r="A946" s="187"/>
      <c r="B946" s="188"/>
      <c r="C946" s="139"/>
      <c r="D946" s="189"/>
      <c r="E946" s="190" t="s">
        <v>7</v>
      </c>
      <c r="F946" s="199"/>
      <c r="G946" s="192">
        <f>ROUND(SUM(G939:G945),2)</f>
        <v>291.99</v>
      </c>
      <c r="H946" s="180"/>
    </row>
    <row r="947" spans="1:8" s="29" customFormat="1" ht="15.75">
      <c r="A947" s="193" t="s">
        <v>293</v>
      </c>
      <c r="B947" s="179" t="s">
        <v>292</v>
      </c>
      <c r="C947" s="145" t="s">
        <v>536</v>
      </c>
      <c r="D947" s="179" t="s">
        <v>1</v>
      </c>
      <c r="E947" s="195">
        <f>0.11*4</f>
        <v>0.44</v>
      </c>
      <c r="F947" s="33">
        <f>ROUND(F948,2)-0.02</f>
        <v>127.39</v>
      </c>
      <c r="G947" s="196">
        <f>ROUND((E947*F947),2)</f>
        <v>56.05</v>
      </c>
      <c r="H947" s="180">
        <f>ROUND((F947*1.2592),2)</f>
        <v>160.41</v>
      </c>
    </row>
    <row r="948" spans="1:8" s="29" customFormat="1" ht="15">
      <c r="A948" s="187" t="s">
        <v>151</v>
      </c>
      <c r="B948" s="188" t="s">
        <v>1151</v>
      </c>
      <c r="C948" s="139" t="s">
        <v>481</v>
      </c>
      <c r="D948" s="189" t="s">
        <v>1</v>
      </c>
      <c r="E948" s="190">
        <v>1</v>
      </c>
      <c r="F948" s="199">
        <f>G952</f>
        <v>127.41</v>
      </c>
      <c r="G948" s="192">
        <f>ROUND(E948*F948,2)</f>
        <v>127.41</v>
      </c>
      <c r="H948" s="180"/>
    </row>
    <row r="949" spans="1:8" s="29" customFormat="1" ht="15">
      <c r="A949" s="187"/>
      <c r="B949" s="188" t="s">
        <v>119</v>
      </c>
      <c r="C949" s="139" t="s">
        <v>120</v>
      </c>
      <c r="D949" s="189" t="s">
        <v>6</v>
      </c>
      <c r="E949" s="190">
        <v>4.5</v>
      </c>
      <c r="F949" s="199">
        <f>ROUND(19.32,2)</f>
        <v>19.32</v>
      </c>
      <c r="G949" s="192">
        <f>ROUND(E949*F949,2)</f>
        <v>86.94</v>
      </c>
      <c r="H949" s="180"/>
    </row>
    <row r="950" spans="1:8" s="29" customFormat="1" ht="15">
      <c r="A950" s="187"/>
      <c r="B950" s="188" t="s">
        <v>121</v>
      </c>
      <c r="C950" s="139" t="s">
        <v>1102</v>
      </c>
      <c r="D950" s="189" t="s">
        <v>6</v>
      </c>
      <c r="E950" s="190">
        <v>1.65</v>
      </c>
      <c r="F950" s="199">
        <f>ROUND(24.27,2)</f>
        <v>24.27</v>
      </c>
      <c r="G950" s="192">
        <f>ROUND(E950*F950,2)</f>
        <v>40.05</v>
      </c>
      <c r="H950" s="180"/>
    </row>
    <row r="951" spans="1:8" s="29" customFormat="1" ht="30">
      <c r="A951" s="187"/>
      <c r="B951" s="188" t="s">
        <v>1335</v>
      </c>
      <c r="C951" s="139" t="s">
        <v>1350</v>
      </c>
      <c r="D951" s="189" t="s">
        <v>143</v>
      </c>
      <c r="E951" s="190">
        <v>0.3</v>
      </c>
      <c r="F951" s="199">
        <f>ROUND(1.39,2)</f>
        <v>1.39</v>
      </c>
      <c r="G951" s="192">
        <f>ROUND(E951*F951,2)</f>
        <v>0.42</v>
      </c>
      <c r="H951" s="180"/>
    </row>
    <row r="952" spans="1:8" s="29" customFormat="1" ht="15">
      <c r="A952" s="187"/>
      <c r="B952" s="188"/>
      <c r="C952" s="139"/>
      <c r="D952" s="189"/>
      <c r="E952" s="190" t="s">
        <v>7</v>
      </c>
      <c r="F952" s="199"/>
      <c r="G952" s="192">
        <f>ROUND(SUM(G949:G951),2)</f>
        <v>127.41</v>
      </c>
      <c r="H952" s="180"/>
    </row>
    <row r="953" spans="1:8" s="29" customFormat="1" ht="30">
      <c r="A953" s="193" t="s">
        <v>296</v>
      </c>
      <c r="B953" s="179" t="s">
        <v>948</v>
      </c>
      <c r="C953" s="145" t="s">
        <v>294</v>
      </c>
      <c r="D953" s="179" t="s">
        <v>31</v>
      </c>
      <c r="E953" s="195">
        <v>4</v>
      </c>
      <c r="F953" s="33">
        <f>ROUND(F954,2)</f>
        <v>58.91</v>
      </c>
      <c r="G953" s="196">
        <f>ROUND((E953*F953),2)</f>
        <v>235.64</v>
      </c>
      <c r="H953" s="180">
        <f>ROUND((F953*1.2592),2)</f>
        <v>74.18</v>
      </c>
    </row>
    <row r="954" spans="1:8" s="29" customFormat="1" ht="90">
      <c r="A954" s="187" t="s">
        <v>162</v>
      </c>
      <c r="B954" s="188" t="s">
        <v>948</v>
      </c>
      <c r="C954" s="139" t="s">
        <v>949</v>
      </c>
      <c r="D954" s="189" t="s">
        <v>14</v>
      </c>
      <c r="E954" s="190">
        <v>1</v>
      </c>
      <c r="F954" s="199">
        <f>ROUND(58.91,2)</f>
        <v>58.91</v>
      </c>
      <c r="G954" s="192">
        <f>ROUND(E954*F954,2)</f>
        <v>58.91</v>
      </c>
      <c r="H954" s="180"/>
    </row>
    <row r="955" spans="1:8" s="29" customFormat="1" ht="30">
      <c r="A955" s="187"/>
      <c r="B955" s="188" t="s">
        <v>295</v>
      </c>
      <c r="C955" s="139" t="s">
        <v>950</v>
      </c>
      <c r="D955" s="189" t="s">
        <v>14</v>
      </c>
      <c r="E955" s="190">
        <v>1</v>
      </c>
      <c r="F955" s="199">
        <v>58.91</v>
      </c>
      <c r="G955" s="192">
        <f>ROUND(E955*F955,2)</f>
        <v>58.91</v>
      </c>
      <c r="H955" s="180"/>
    </row>
    <row r="956" spans="1:8" s="29" customFormat="1" ht="15">
      <c r="A956" s="187"/>
      <c r="B956" s="188"/>
      <c r="C956" s="139"/>
      <c r="D956" s="189"/>
      <c r="E956" s="190" t="s">
        <v>7</v>
      </c>
      <c r="F956" s="199"/>
      <c r="G956" s="192">
        <f>ROUND(SUM(G955:G955),2)</f>
        <v>58.91</v>
      </c>
      <c r="H956" s="180"/>
    </row>
    <row r="957" spans="1:8" s="29" customFormat="1" ht="30.75">
      <c r="A957" s="193" t="s">
        <v>298</v>
      </c>
      <c r="B957" s="179" t="s">
        <v>1031</v>
      </c>
      <c r="C957" s="145" t="s">
        <v>537</v>
      </c>
      <c r="D957" s="179" t="s">
        <v>14</v>
      </c>
      <c r="E957" s="195">
        <v>1</v>
      </c>
      <c r="F957" s="33">
        <f>ROUND(F958,2)</f>
        <v>233.65</v>
      </c>
      <c r="G957" s="196">
        <f>ROUND((E957*F957),2)</f>
        <v>233.65</v>
      </c>
      <c r="H957" s="180">
        <f>ROUND((F957*1.2592),2)</f>
        <v>294.21</v>
      </c>
    </row>
    <row r="958" spans="1:8" s="29" customFormat="1" ht="45">
      <c r="A958" s="187" t="s">
        <v>162</v>
      </c>
      <c r="B958" s="188" t="s">
        <v>1415</v>
      </c>
      <c r="C958" s="139" t="s">
        <v>1416</v>
      </c>
      <c r="D958" s="189" t="s">
        <v>14</v>
      </c>
      <c r="E958" s="201">
        <v>1</v>
      </c>
      <c r="F958" s="199">
        <f>ROUND(233.65,2)</f>
        <v>233.65</v>
      </c>
      <c r="G958" s="192">
        <f>ROUND(E958*F958,2)</f>
        <v>233.65</v>
      </c>
      <c r="H958" s="180"/>
    </row>
    <row r="959" spans="1:8" s="29" customFormat="1" ht="30">
      <c r="A959" s="187"/>
      <c r="B959" s="188" t="s">
        <v>1417</v>
      </c>
      <c r="C959" s="139" t="s">
        <v>1418</v>
      </c>
      <c r="D959" s="189" t="s">
        <v>14</v>
      </c>
      <c r="E959" s="201">
        <v>1</v>
      </c>
      <c r="F959" s="199">
        <f>ROUND(146.91,2)</f>
        <v>146.91</v>
      </c>
      <c r="G959" s="192">
        <f>ROUND(E959*F959,2)</f>
        <v>146.91</v>
      </c>
      <c r="H959" s="180"/>
    </row>
    <row r="960" spans="1:8" s="29" customFormat="1" ht="15">
      <c r="A960" s="187"/>
      <c r="B960" s="188" t="s">
        <v>1098</v>
      </c>
      <c r="C960" s="139" t="s">
        <v>1099</v>
      </c>
      <c r="D960" s="189" t="s">
        <v>6</v>
      </c>
      <c r="E960" s="201">
        <v>2</v>
      </c>
      <c r="F960" s="199">
        <f>ROUND(24.28,2)</f>
        <v>24.28</v>
      </c>
      <c r="G960" s="192">
        <f>ROUND(E960*F960,2)</f>
        <v>48.56</v>
      </c>
      <c r="H960" s="180"/>
    </row>
    <row r="961" spans="1:8" s="29" customFormat="1" ht="15">
      <c r="A961" s="187"/>
      <c r="B961" s="188" t="s">
        <v>1419</v>
      </c>
      <c r="C961" s="139" t="s">
        <v>1420</v>
      </c>
      <c r="D961" s="189" t="s">
        <v>6</v>
      </c>
      <c r="E961" s="201">
        <v>2</v>
      </c>
      <c r="F961" s="199">
        <f>ROUND(19.09,2)</f>
        <v>19.09</v>
      </c>
      <c r="G961" s="192">
        <f>ROUND(E961*F961,2)</f>
        <v>38.18</v>
      </c>
      <c r="H961" s="180"/>
    </row>
    <row r="962" spans="1:8" s="29" customFormat="1" ht="15">
      <c r="A962" s="187"/>
      <c r="B962" s="188"/>
      <c r="C962" s="139"/>
      <c r="D962" s="189"/>
      <c r="E962" s="201" t="s">
        <v>7</v>
      </c>
      <c r="F962" s="199"/>
      <c r="G962" s="192">
        <f>ROUND(SUM(G959:G961),2)</f>
        <v>233.65</v>
      </c>
      <c r="H962" s="180"/>
    </row>
    <row r="963" spans="1:8" s="29" customFormat="1" ht="15.75">
      <c r="A963" s="193" t="s">
        <v>299</v>
      </c>
      <c r="B963" s="179" t="s">
        <v>1032</v>
      </c>
      <c r="C963" s="145" t="s">
        <v>538</v>
      </c>
      <c r="D963" s="179" t="s">
        <v>14</v>
      </c>
      <c r="E963" s="195">
        <v>1</v>
      </c>
      <c r="F963" s="33">
        <f>ROUND(F964,2)-0.02</f>
        <v>13.3</v>
      </c>
      <c r="G963" s="196">
        <f>ROUND((E963*F963),2)</f>
        <v>13.3</v>
      </c>
      <c r="H963" s="180">
        <f>ROUND((F963*1.2592),2)</f>
        <v>16.75</v>
      </c>
    </row>
    <row r="964" spans="1:8" s="29" customFormat="1" ht="30">
      <c r="A964" s="187" t="s">
        <v>151</v>
      </c>
      <c r="B964" s="188" t="s">
        <v>1421</v>
      </c>
      <c r="C964" s="139" t="s">
        <v>1422</v>
      </c>
      <c r="D964" s="189" t="s">
        <v>14</v>
      </c>
      <c r="E964" s="201">
        <v>1</v>
      </c>
      <c r="F964" s="199">
        <f>G969</f>
        <v>13.32</v>
      </c>
      <c r="G964" s="192">
        <f>ROUND(E964*F964,2)</f>
        <v>13.32</v>
      </c>
      <c r="H964" s="180"/>
    </row>
    <row r="965" spans="1:8" s="29" customFormat="1" ht="15">
      <c r="A965" s="187"/>
      <c r="B965" s="188" t="s">
        <v>1423</v>
      </c>
      <c r="C965" s="139" t="s">
        <v>1424</v>
      </c>
      <c r="D965" s="189" t="s">
        <v>14</v>
      </c>
      <c r="E965" s="201">
        <v>1</v>
      </c>
      <c r="F965" s="199">
        <f>ROUND(8.45,2)</f>
        <v>8.45</v>
      </c>
      <c r="G965" s="192">
        <f>ROUND(E965*F965,2)</f>
        <v>8.45</v>
      </c>
      <c r="H965" s="180"/>
    </row>
    <row r="966" spans="1:8" s="29" customFormat="1" ht="30">
      <c r="A966" s="187"/>
      <c r="B966" s="188" t="s">
        <v>1425</v>
      </c>
      <c r="C966" s="139" t="s">
        <v>1426</v>
      </c>
      <c r="D966" s="189" t="s">
        <v>14</v>
      </c>
      <c r="E966" s="201">
        <v>1</v>
      </c>
      <c r="F966" s="199">
        <f>ROUND(0.92,2)</f>
        <v>0.92</v>
      </c>
      <c r="G966" s="192">
        <f>ROUND(E966*F966,2)</f>
        <v>0.92</v>
      </c>
      <c r="H966" s="180"/>
    </row>
    <row r="967" spans="1:8" s="29" customFormat="1" ht="15">
      <c r="A967" s="187"/>
      <c r="B967" s="188" t="s">
        <v>1098</v>
      </c>
      <c r="C967" s="139" t="s">
        <v>1099</v>
      </c>
      <c r="D967" s="189" t="s">
        <v>6</v>
      </c>
      <c r="E967" s="201">
        <v>0.091</v>
      </c>
      <c r="F967" s="199">
        <f>ROUND(24.28,2)</f>
        <v>24.28</v>
      </c>
      <c r="G967" s="192">
        <f>ROUND(E967*F967,2)</f>
        <v>2.21</v>
      </c>
      <c r="H967" s="180"/>
    </row>
    <row r="968" spans="1:8" s="29" customFormat="1" ht="15">
      <c r="A968" s="187"/>
      <c r="B968" s="188" t="s">
        <v>1419</v>
      </c>
      <c r="C968" s="139" t="s">
        <v>1420</v>
      </c>
      <c r="D968" s="189" t="s">
        <v>6</v>
      </c>
      <c r="E968" s="201">
        <v>0.091</v>
      </c>
      <c r="F968" s="199">
        <f>ROUND(19.09,2)</f>
        <v>19.09</v>
      </c>
      <c r="G968" s="192">
        <f>ROUND(E968*F968,2)</f>
        <v>1.74</v>
      </c>
      <c r="H968" s="180"/>
    </row>
    <row r="969" spans="1:8" s="29" customFormat="1" ht="15">
      <c r="A969" s="187"/>
      <c r="B969" s="188"/>
      <c r="C969" s="139"/>
      <c r="D969" s="189"/>
      <c r="E969" s="201" t="s">
        <v>7</v>
      </c>
      <c r="F969" s="199"/>
      <c r="G969" s="192">
        <f>ROUND(SUM(G965:G968),2)</f>
        <v>13.32</v>
      </c>
      <c r="H969" s="180"/>
    </row>
    <row r="970" spans="1:8" s="29" customFormat="1" ht="15.75">
      <c r="A970" s="193" t="s">
        <v>300</v>
      </c>
      <c r="B970" s="202" t="s">
        <v>301</v>
      </c>
      <c r="C970" s="145" t="s">
        <v>539</v>
      </c>
      <c r="D970" s="179" t="s">
        <v>14</v>
      </c>
      <c r="E970" s="195">
        <v>2</v>
      </c>
      <c r="F970" s="33">
        <f>ROUND(F971,2)</f>
        <v>54.21</v>
      </c>
      <c r="G970" s="196">
        <f>ROUND((E970*F970),2)</f>
        <v>108.42</v>
      </c>
      <c r="H970" s="180">
        <f>ROUND((F970*1.2592),2)</f>
        <v>68.26</v>
      </c>
    </row>
    <row r="971" spans="1:8" s="29" customFormat="1" ht="30">
      <c r="A971" s="187" t="s">
        <v>151</v>
      </c>
      <c r="B971" s="188" t="s">
        <v>301</v>
      </c>
      <c r="C971" s="139" t="s">
        <v>1427</v>
      </c>
      <c r="D971" s="189" t="s">
        <v>14</v>
      </c>
      <c r="E971" s="201">
        <v>1</v>
      </c>
      <c r="F971" s="199">
        <f>G976</f>
        <v>54.21</v>
      </c>
      <c r="G971" s="192">
        <f>ROUND(E971*F971,2)</f>
        <v>54.21</v>
      </c>
      <c r="H971" s="180"/>
    </row>
    <row r="972" spans="1:8" s="29" customFormat="1" ht="15">
      <c r="A972" s="187"/>
      <c r="B972" s="188" t="s">
        <v>302</v>
      </c>
      <c r="C972" s="139" t="s">
        <v>1428</v>
      </c>
      <c r="D972" s="189" t="s">
        <v>14</v>
      </c>
      <c r="E972" s="201">
        <v>1</v>
      </c>
      <c r="F972" s="199">
        <f>ROUND(48.46,2)</f>
        <v>48.46</v>
      </c>
      <c r="G972" s="192">
        <f>ROUND(E972*F972,2)</f>
        <v>48.46</v>
      </c>
      <c r="H972" s="180"/>
    </row>
    <row r="973" spans="1:8" s="29" customFormat="1" ht="30">
      <c r="A973" s="187"/>
      <c r="B973" s="188" t="s">
        <v>303</v>
      </c>
      <c r="C973" s="139" t="s">
        <v>1429</v>
      </c>
      <c r="D973" s="189" t="s">
        <v>14</v>
      </c>
      <c r="E973" s="201">
        <v>2</v>
      </c>
      <c r="F973" s="199">
        <f>ROUND(0.6,2)</f>
        <v>0.6</v>
      </c>
      <c r="G973" s="192">
        <f>ROUND(E973*F973,2)</f>
        <v>1.2</v>
      </c>
      <c r="H973" s="180"/>
    </row>
    <row r="974" spans="1:8" s="29" customFormat="1" ht="15">
      <c r="A974" s="187"/>
      <c r="B974" s="188" t="s">
        <v>152</v>
      </c>
      <c r="C974" s="139" t="s">
        <v>1099</v>
      </c>
      <c r="D974" s="189" t="s">
        <v>6</v>
      </c>
      <c r="E974" s="201">
        <v>0.095</v>
      </c>
      <c r="F974" s="199">
        <f>ROUND(26.97,2)</f>
        <v>26.97</v>
      </c>
      <c r="G974" s="192">
        <f>ROUND(E974*F974,2)</f>
        <v>2.56</v>
      </c>
      <c r="H974" s="180"/>
    </row>
    <row r="975" spans="1:8" s="29" customFormat="1" ht="15">
      <c r="A975" s="187"/>
      <c r="B975" s="188" t="s">
        <v>297</v>
      </c>
      <c r="C975" s="139" t="s">
        <v>1420</v>
      </c>
      <c r="D975" s="189" t="s">
        <v>6</v>
      </c>
      <c r="E975" s="201">
        <v>0.095</v>
      </c>
      <c r="F975" s="199">
        <f>ROUND(20.99,2)</f>
        <v>20.99</v>
      </c>
      <c r="G975" s="192">
        <f>ROUND(E975*F975,2)</f>
        <v>1.99</v>
      </c>
      <c r="H975" s="180"/>
    </row>
    <row r="976" spans="1:8" s="29" customFormat="1" ht="15">
      <c r="A976" s="187"/>
      <c r="B976" s="188"/>
      <c r="C976" s="139"/>
      <c r="D976" s="189"/>
      <c r="E976" s="201" t="s">
        <v>7</v>
      </c>
      <c r="F976" s="199"/>
      <c r="G976" s="192">
        <f>ROUND(SUM(G972:G975),2)</f>
        <v>54.21</v>
      </c>
      <c r="H976" s="180"/>
    </row>
    <row r="977" spans="1:8" s="29" customFormat="1" ht="15.75">
      <c r="A977" s="193" t="s">
        <v>304</v>
      </c>
      <c r="B977" s="202" t="s">
        <v>1033</v>
      </c>
      <c r="C977" s="145" t="s">
        <v>540</v>
      </c>
      <c r="D977" s="179" t="s">
        <v>14</v>
      </c>
      <c r="E977" s="195">
        <v>1</v>
      </c>
      <c r="F977" s="33">
        <f>ROUND(F978,2)-0.02</f>
        <v>55.769999999999996</v>
      </c>
      <c r="G977" s="196">
        <f>ROUND((E977*F977),2)</f>
        <v>55.77</v>
      </c>
      <c r="H977" s="180">
        <f>ROUND((F977*1.2592),2)</f>
        <v>70.23</v>
      </c>
    </row>
    <row r="978" spans="1:8" s="29" customFormat="1" ht="30">
      <c r="A978" s="187" t="s">
        <v>151</v>
      </c>
      <c r="B978" s="188" t="s">
        <v>1430</v>
      </c>
      <c r="C978" s="139" t="s">
        <v>1431</v>
      </c>
      <c r="D978" s="189" t="s">
        <v>14</v>
      </c>
      <c r="E978" s="201">
        <v>1</v>
      </c>
      <c r="F978" s="199">
        <f>G983</f>
        <v>55.79</v>
      </c>
      <c r="G978" s="192">
        <f>ROUND(E978*F978,2)</f>
        <v>55.79</v>
      </c>
      <c r="H978" s="180"/>
    </row>
    <row r="979" spans="1:8" s="29" customFormat="1" ht="15">
      <c r="A979" s="187"/>
      <c r="B979" s="188" t="s">
        <v>1432</v>
      </c>
      <c r="C979" s="139" t="s">
        <v>1428</v>
      </c>
      <c r="D979" s="189" t="s">
        <v>14</v>
      </c>
      <c r="E979" s="201">
        <v>1</v>
      </c>
      <c r="F979" s="199">
        <f>ROUND(48.46,2)</f>
        <v>48.46</v>
      </c>
      <c r="G979" s="192">
        <f>ROUND(E979*F979,2)</f>
        <v>48.46</v>
      </c>
      <c r="H979" s="180"/>
    </row>
    <row r="980" spans="1:8" s="29" customFormat="1" ht="30">
      <c r="A980" s="187"/>
      <c r="B980" s="188" t="s">
        <v>1433</v>
      </c>
      <c r="C980" s="139" t="s">
        <v>1434</v>
      </c>
      <c r="D980" s="189" t="s">
        <v>14</v>
      </c>
      <c r="E980" s="201">
        <v>2</v>
      </c>
      <c r="F980" s="199">
        <f>ROUND(0.78,2)</f>
        <v>0.78</v>
      </c>
      <c r="G980" s="192">
        <f>ROUND(E980*F980,2)</f>
        <v>1.56</v>
      </c>
      <c r="H980" s="180"/>
    </row>
    <row r="981" spans="1:8" s="29" customFormat="1" ht="15">
      <c r="A981" s="187"/>
      <c r="B981" s="188" t="s">
        <v>1098</v>
      </c>
      <c r="C981" s="139" t="s">
        <v>1099</v>
      </c>
      <c r="D981" s="189" t="s">
        <v>6</v>
      </c>
      <c r="E981" s="201">
        <v>0.133</v>
      </c>
      <c r="F981" s="199">
        <f>ROUND(24.28,2)</f>
        <v>24.28</v>
      </c>
      <c r="G981" s="192">
        <f>ROUND(E981*F981,2)</f>
        <v>3.23</v>
      </c>
      <c r="H981" s="180"/>
    </row>
    <row r="982" spans="1:8" s="29" customFormat="1" ht="15">
      <c r="A982" s="187"/>
      <c r="B982" s="188" t="s">
        <v>1419</v>
      </c>
      <c r="C982" s="139" t="s">
        <v>1420</v>
      </c>
      <c r="D982" s="189" t="s">
        <v>6</v>
      </c>
      <c r="E982" s="201">
        <v>0.133</v>
      </c>
      <c r="F982" s="199">
        <f>ROUND(19.09,2)</f>
        <v>19.09</v>
      </c>
      <c r="G982" s="192">
        <f>ROUND(E982*F982,2)</f>
        <v>2.54</v>
      </c>
      <c r="H982" s="180"/>
    </row>
    <row r="983" spans="1:8" s="29" customFormat="1" ht="15">
      <c r="A983" s="187"/>
      <c r="B983" s="188"/>
      <c r="C983" s="139"/>
      <c r="D983" s="189"/>
      <c r="E983" s="201" t="s">
        <v>7</v>
      </c>
      <c r="F983" s="199"/>
      <c r="G983" s="192">
        <f>ROUND(SUM(G979:G982),2)</f>
        <v>55.79</v>
      </c>
      <c r="H983" s="180"/>
    </row>
    <row r="984" spans="1:8" s="29" customFormat="1" ht="15.75">
      <c r="A984" s="193" t="s">
        <v>305</v>
      </c>
      <c r="B984" s="202" t="s">
        <v>1034</v>
      </c>
      <c r="C984" s="145" t="s">
        <v>541</v>
      </c>
      <c r="D984" s="179" t="s">
        <v>14</v>
      </c>
      <c r="E984" s="195">
        <v>1</v>
      </c>
      <c r="F984" s="33">
        <f>ROUND(F985,2)-0.01</f>
        <v>79.97</v>
      </c>
      <c r="G984" s="196">
        <f>ROUND((E984*F984),2)</f>
        <v>79.97</v>
      </c>
      <c r="H984" s="180">
        <f>ROUND((F984*1.2592),2)</f>
        <v>100.7</v>
      </c>
    </row>
    <row r="985" spans="1:8" s="29" customFormat="1" ht="30">
      <c r="A985" s="181" t="s">
        <v>151</v>
      </c>
      <c r="B985" s="182" t="s">
        <v>1435</v>
      </c>
      <c r="C985" s="135" t="s">
        <v>1436</v>
      </c>
      <c r="D985" s="183" t="s">
        <v>14</v>
      </c>
      <c r="E985" s="184">
        <v>1</v>
      </c>
      <c r="F985" s="200">
        <f>G990</f>
        <v>79.98</v>
      </c>
      <c r="G985" s="186">
        <f>ROUND(E985*F985,2)</f>
        <v>79.98</v>
      </c>
      <c r="H985" s="180"/>
    </row>
    <row r="986" spans="1:8" s="29" customFormat="1" ht="15">
      <c r="A986" s="187"/>
      <c r="B986" s="188" t="s">
        <v>1437</v>
      </c>
      <c r="C986" s="139" t="s">
        <v>1438</v>
      </c>
      <c r="D986" s="189" t="s">
        <v>14</v>
      </c>
      <c r="E986" s="190">
        <v>1</v>
      </c>
      <c r="F986" s="199">
        <f>ROUND(59.37,2)</f>
        <v>59.37</v>
      </c>
      <c r="G986" s="192">
        <f>ROUND(E986*F986,2)</f>
        <v>59.37</v>
      </c>
      <c r="H986" s="180"/>
    </row>
    <row r="987" spans="1:8" s="29" customFormat="1" ht="30">
      <c r="A987" s="187"/>
      <c r="B987" s="188" t="s">
        <v>1439</v>
      </c>
      <c r="C987" s="139" t="s">
        <v>1440</v>
      </c>
      <c r="D987" s="189" t="s">
        <v>14</v>
      </c>
      <c r="E987" s="190">
        <v>3</v>
      </c>
      <c r="F987" s="199">
        <f>ROUND(1,2)</f>
        <v>1</v>
      </c>
      <c r="G987" s="192">
        <f>ROUND(E987*F987,2)</f>
        <v>3</v>
      </c>
      <c r="H987" s="180"/>
    </row>
    <row r="988" spans="1:8" s="29" customFormat="1" ht="15">
      <c r="A988" s="187"/>
      <c r="B988" s="188" t="s">
        <v>1098</v>
      </c>
      <c r="C988" s="139" t="s">
        <v>1099</v>
      </c>
      <c r="D988" s="189" t="s">
        <v>6</v>
      </c>
      <c r="E988" s="190">
        <v>0.406</v>
      </c>
      <c r="F988" s="199">
        <f>ROUND(24.28,2)</f>
        <v>24.28</v>
      </c>
      <c r="G988" s="192">
        <f>ROUND(E988*F988,2)</f>
        <v>9.86</v>
      </c>
      <c r="H988" s="180"/>
    </row>
    <row r="989" spans="1:8" s="29" customFormat="1" ht="15">
      <c r="A989" s="187"/>
      <c r="B989" s="188" t="s">
        <v>1419</v>
      </c>
      <c r="C989" s="139" t="s">
        <v>1420</v>
      </c>
      <c r="D989" s="189" t="s">
        <v>6</v>
      </c>
      <c r="E989" s="190">
        <v>0.406</v>
      </c>
      <c r="F989" s="199">
        <f>ROUND(19.09,2)</f>
        <v>19.09</v>
      </c>
      <c r="G989" s="192">
        <f>ROUND(E989*F989,2)</f>
        <v>7.75</v>
      </c>
      <c r="H989" s="180"/>
    </row>
    <row r="990" spans="1:8" s="29" customFormat="1" ht="15">
      <c r="A990" s="187"/>
      <c r="B990" s="188"/>
      <c r="C990" s="139"/>
      <c r="D990" s="189"/>
      <c r="E990" s="190" t="s">
        <v>7</v>
      </c>
      <c r="F990" s="199"/>
      <c r="G990" s="192">
        <f>ROUND(SUM(G986:G989),2)</f>
        <v>79.98</v>
      </c>
      <c r="H990" s="180"/>
    </row>
    <row r="991" spans="1:7" ht="81">
      <c r="A991" s="203" t="s">
        <v>306</v>
      </c>
      <c r="B991" s="55" t="s">
        <v>951</v>
      </c>
      <c r="C991" s="56" t="s">
        <v>1308</v>
      </c>
      <c r="D991" s="54" t="s">
        <v>14</v>
      </c>
      <c r="E991" s="54">
        <v>1</v>
      </c>
      <c r="F991" s="119">
        <f>ROUND((F992),2)-0.05</f>
        <v>1918.39</v>
      </c>
      <c r="G991" s="35">
        <f>ROUND((E991*F991),2)</f>
        <v>1918.39</v>
      </c>
    </row>
    <row r="992" spans="1:7" ht="90">
      <c r="A992" s="204" t="s">
        <v>151</v>
      </c>
      <c r="B992" s="110" t="s">
        <v>951</v>
      </c>
      <c r="C992" s="59" t="s">
        <v>952</v>
      </c>
      <c r="D992" s="58" t="s">
        <v>14</v>
      </c>
      <c r="E992" s="208">
        <v>1</v>
      </c>
      <c r="F992" s="114">
        <f>G1017</f>
        <v>1918.44</v>
      </c>
      <c r="G992" s="60">
        <f>ROUND(E992*F992,2)</f>
        <v>1918.44</v>
      </c>
    </row>
    <row r="993" spans="1:7" ht="15.75">
      <c r="A993" s="207"/>
      <c r="B993" s="111" t="s">
        <v>104</v>
      </c>
      <c r="C993" s="105" t="s">
        <v>953</v>
      </c>
      <c r="D993" s="104" t="s">
        <v>14</v>
      </c>
      <c r="E993" s="209">
        <v>1</v>
      </c>
      <c r="F993" s="155">
        <v>8.96</v>
      </c>
      <c r="G993" s="107">
        <f>ROUND(E993*F993,2)</f>
        <v>8.96</v>
      </c>
    </row>
    <row r="994" spans="1:7" ht="30">
      <c r="A994" s="207"/>
      <c r="B994" s="111" t="s">
        <v>95</v>
      </c>
      <c r="C994" s="105" t="s">
        <v>954</v>
      </c>
      <c r="D994" s="104" t="s">
        <v>5</v>
      </c>
      <c r="E994" s="209">
        <v>0.2</v>
      </c>
      <c r="F994" s="155">
        <v>40.7168</v>
      </c>
      <c r="G994" s="107">
        <f>ROUND(E994*F994,2)</f>
        <v>8.14</v>
      </c>
    </row>
    <row r="995" spans="1:7" s="117" customFormat="1" ht="31.5">
      <c r="A995" s="490"/>
      <c r="B995" s="491" t="s">
        <v>96</v>
      </c>
      <c r="C995" s="118" t="s">
        <v>955</v>
      </c>
      <c r="D995" s="112" t="s">
        <v>14</v>
      </c>
      <c r="E995" s="251">
        <v>0</v>
      </c>
      <c r="F995" s="492">
        <v>322.4</v>
      </c>
      <c r="G995" s="115">
        <f>ROUND(E995*F995,2)</f>
        <v>0</v>
      </c>
    </row>
    <row r="996" spans="1:7" ht="30">
      <c r="A996" s="207"/>
      <c r="B996" s="111" t="s">
        <v>22</v>
      </c>
      <c r="C996" s="105" t="s">
        <v>956</v>
      </c>
      <c r="D996" s="104" t="s">
        <v>14</v>
      </c>
      <c r="E996" s="209">
        <v>1</v>
      </c>
      <c r="F996" s="155">
        <v>4.14</v>
      </c>
      <c r="G996" s="107">
        <f>ROUND(E996*F996,2)</f>
        <v>4.14</v>
      </c>
    </row>
    <row r="997" spans="1:7" ht="30">
      <c r="A997" s="207"/>
      <c r="B997" s="111" t="s">
        <v>97</v>
      </c>
      <c r="C997" s="105" t="s">
        <v>957</v>
      </c>
      <c r="D997" s="104" t="s">
        <v>14</v>
      </c>
      <c r="E997" s="209">
        <v>1</v>
      </c>
      <c r="F997" s="155">
        <v>8.22</v>
      </c>
      <c r="G997" s="107">
        <f>ROUND(E997*F997,2)</f>
        <v>8.22</v>
      </c>
    </row>
    <row r="998" spans="1:7" ht="15.75">
      <c r="A998" s="207"/>
      <c r="B998" s="111" t="s">
        <v>98</v>
      </c>
      <c r="C998" s="105" t="s">
        <v>958</v>
      </c>
      <c r="D998" s="104" t="s">
        <v>14</v>
      </c>
      <c r="E998" s="209">
        <v>2</v>
      </c>
      <c r="F998" s="155">
        <v>1.49</v>
      </c>
      <c r="G998" s="107">
        <f>ROUND(E998*F998,2)</f>
        <v>2.98</v>
      </c>
    </row>
    <row r="999" spans="1:7" ht="15.75">
      <c r="A999" s="207"/>
      <c r="B999" s="111" t="s">
        <v>99</v>
      </c>
      <c r="C999" s="105" t="s">
        <v>959</v>
      </c>
      <c r="D999" s="104" t="s">
        <v>14</v>
      </c>
      <c r="E999" s="209">
        <v>2</v>
      </c>
      <c r="F999" s="155">
        <v>0.87</v>
      </c>
      <c r="G999" s="107">
        <f>ROUND(E999*F999,2)</f>
        <v>1.74</v>
      </c>
    </row>
    <row r="1000" spans="1:7" ht="15.75">
      <c r="A1000" s="207"/>
      <c r="B1000" s="111" t="s">
        <v>100</v>
      </c>
      <c r="C1000" s="105" t="s">
        <v>960</v>
      </c>
      <c r="D1000" s="104" t="s">
        <v>14</v>
      </c>
      <c r="E1000" s="209">
        <v>2</v>
      </c>
      <c r="F1000" s="155">
        <v>21.02</v>
      </c>
      <c r="G1000" s="107">
        <f>ROUND(E1000*F1000,2)</f>
        <v>42.04</v>
      </c>
    </row>
    <row r="1001" spans="1:7" ht="15.75">
      <c r="A1001" s="207"/>
      <c r="B1001" s="111" t="s">
        <v>101</v>
      </c>
      <c r="C1001" s="105" t="s">
        <v>961</v>
      </c>
      <c r="D1001" s="104" t="s">
        <v>14</v>
      </c>
      <c r="E1001" s="209">
        <v>1</v>
      </c>
      <c r="F1001" s="155">
        <v>24.1</v>
      </c>
      <c r="G1001" s="107">
        <f>ROUND(E1001*F1001,2)</f>
        <v>24.1</v>
      </c>
    </row>
    <row r="1002" spans="1:7" ht="15.75">
      <c r="A1002" s="207"/>
      <c r="B1002" s="111" t="s">
        <v>102</v>
      </c>
      <c r="C1002" s="105" t="s">
        <v>962</v>
      </c>
      <c r="D1002" s="104" t="s">
        <v>14</v>
      </c>
      <c r="E1002" s="209">
        <v>1</v>
      </c>
      <c r="F1002" s="155">
        <v>33.5</v>
      </c>
      <c r="G1002" s="107">
        <f>ROUND(E1002*F1002,2)</f>
        <v>33.5</v>
      </c>
    </row>
    <row r="1003" spans="1:7" ht="15.75">
      <c r="A1003" s="207"/>
      <c r="B1003" s="111" t="s">
        <v>21</v>
      </c>
      <c r="C1003" s="105" t="s">
        <v>963</v>
      </c>
      <c r="D1003" s="104" t="s">
        <v>14</v>
      </c>
      <c r="E1003" s="209">
        <v>1</v>
      </c>
      <c r="F1003" s="155">
        <v>0.71</v>
      </c>
      <c r="G1003" s="107">
        <f>ROUND(E1003*F1003,2)</f>
        <v>0.71</v>
      </c>
    </row>
    <row r="1004" spans="1:7" ht="15.75">
      <c r="A1004" s="207"/>
      <c r="B1004" s="111" t="s">
        <v>103</v>
      </c>
      <c r="C1004" s="105" t="s">
        <v>964</v>
      </c>
      <c r="D1004" s="104" t="s">
        <v>14</v>
      </c>
      <c r="E1004" s="209">
        <v>2</v>
      </c>
      <c r="F1004" s="155">
        <v>1.61</v>
      </c>
      <c r="G1004" s="107">
        <f>ROUND(E1004*F1004,2)</f>
        <v>3.22</v>
      </c>
    </row>
    <row r="1005" spans="1:7" ht="30">
      <c r="A1005" s="207"/>
      <c r="B1005" s="111" t="s">
        <v>105</v>
      </c>
      <c r="C1005" s="105" t="s">
        <v>965</v>
      </c>
      <c r="D1005" s="104" t="s">
        <v>14</v>
      </c>
      <c r="E1005" s="209">
        <v>1</v>
      </c>
      <c r="F1005" s="155">
        <v>16.25</v>
      </c>
      <c r="G1005" s="107">
        <f>ROUND(E1005*F1005,2)</f>
        <v>16.25</v>
      </c>
    </row>
    <row r="1006" spans="1:7" ht="30">
      <c r="A1006" s="207"/>
      <c r="B1006" s="111" t="s">
        <v>106</v>
      </c>
      <c r="C1006" s="105" t="s">
        <v>966</v>
      </c>
      <c r="D1006" s="104" t="s">
        <v>14</v>
      </c>
      <c r="E1006" s="209">
        <v>1</v>
      </c>
      <c r="F1006" s="155">
        <v>51.4</v>
      </c>
      <c r="G1006" s="107">
        <f>ROUND(E1006*F1006,2)</f>
        <v>51.4</v>
      </c>
    </row>
    <row r="1007" spans="1:7" ht="30">
      <c r="A1007" s="207"/>
      <c r="B1007" s="111" t="s">
        <v>107</v>
      </c>
      <c r="C1007" s="105" t="s">
        <v>967</v>
      </c>
      <c r="D1007" s="104" t="s">
        <v>14</v>
      </c>
      <c r="E1007" s="209">
        <v>1</v>
      </c>
      <c r="F1007" s="155">
        <v>72</v>
      </c>
      <c r="G1007" s="107">
        <f>ROUND(E1007*F1007,2)</f>
        <v>72</v>
      </c>
    </row>
    <row r="1008" spans="1:7" ht="30">
      <c r="A1008" s="207"/>
      <c r="B1008" s="111" t="s">
        <v>108</v>
      </c>
      <c r="C1008" s="105" t="s">
        <v>968</v>
      </c>
      <c r="D1008" s="104" t="s">
        <v>14</v>
      </c>
      <c r="E1008" s="209">
        <v>1</v>
      </c>
      <c r="F1008" s="155">
        <v>39.04</v>
      </c>
      <c r="G1008" s="107">
        <f>ROUND(E1008*F1008,2)</f>
        <v>39.04</v>
      </c>
    </row>
    <row r="1009" spans="1:7" ht="15.75">
      <c r="A1009" s="207"/>
      <c r="B1009" s="111" t="s">
        <v>109</v>
      </c>
      <c r="C1009" s="105" t="s">
        <v>969</v>
      </c>
      <c r="D1009" s="104" t="s">
        <v>14</v>
      </c>
      <c r="E1009" s="209">
        <v>1</v>
      </c>
      <c r="F1009" s="155">
        <v>266.14</v>
      </c>
      <c r="G1009" s="107">
        <f>ROUND(E1009*F1009,2)</f>
        <v>266.14</v>
      </c>
    </row>
    <row r="1010" spans="1:7" ht="15.75">
      <c r="A1010" s="207"/>
      <c r="B1010" s="111" t="s">
        <v>90</v>
      </c>
      <c r="C1010" s="105" t="s">
        <v>970</v>
      </c>
      <c r="D1010" s="104" t="s">
        <v>14</v>
      </c>
      <c r="E1010" s="209">
        <v>4</v>
      </c>
      <c r="F1010" s="155">
        <v>3.53</v>
      </c>
      <c r="G1010" s="107">
        <f>ROUND(E1010*F1010,2)</f>
        <v>14.12</v>
      </c>
    </row>
    <row r="1011" spans="1:7" ht="30">
      <c r="A1011" s="207"/>
      <c r="B1011" s="111" t="s">
        <v>669</v>
      </c>
      <c r="C1011" s="105" t="s">
        <v>670</v>
      </c>
      <c r="D1011" s="104" t="s">
        <v>6</v>
      </c>
      <c r="E1011" s="209">
        <v>22.66</v>
      </c>
      <c r="F1011" s="155">
        <v>17.3</v>
      </c>
      <c r="G1011" s="107">
        <f>ROUND(E1011*F1011,2)</f>
        <v>392.02</v>
      </c>
    </row>
    <row r="1012" spans="1:7" ht="30">
      <c r="A1012" s="207"/>
      <c r="B1012" s="111" t="s">
        <v>597</v>
      </c>
      <c r="C1012" s="105" t="s">
        <v>598</v>
      </c>
      <c r="D1012" s="104" t="s">
        <v>6</v>
      </c>
      <c r="E1012" s="209">
        <v>22.66</v>
      </c>
      <c r="F1012" s="155">
        <v>12.54</v>
      </c>
      <c r="G1012" s="107">
        <f>ROUND(E1012*F1012,2)</f>
        <v>284.16</v>
      </c>
    </row>
    <row r="1013" spans="1:7" ht="15.75">
      <c r="A1013" s="207"/>
      <c r="B1013" s="111" t="s">
        <v>971</v>
      </c>
      <c r="C1013" s="105" t="s">
        <v>972</v>
      </c>
      <c r="D1013" s="104" t="s">
        <v>0</v>
      </c>
      <c r="E1013" s="209">
        <v>1.7</v>
      </c>
      <c r="F1013" s="155">
        <f>ROUND(43.7991,2)</f>
        <v>43.8</v>
      </c>
      <c r="G1013" s="107">
        <f>ROUND(E1013*F1013,2)</f>
        <v>74.46</v>
      </c>
    </row>
    <row r="1014" spans="1:7" ht="15.75">
      <c r="A1014" s="207"/>
      <c r="B1014" s="111" t="s">
        <v>973</v>
      </c>
      <c r="C1014" s="105" t="s">
        <v>974</v>
      </c>
      <c r="D1014" s="104" t="s">
        <v>110</v>
      </c>
      <c r="E1014" s="209">
        <v>400</v>
      </c>
      <c r="F1014" s="155">
        <v>1.0232</v>
      </c>
      <c r="G1014" s="107">
        <f>ROUND(E1014*F1014,2)</f>
        <v>409.28</v>
      </c>
    </row>
    <row r="1015" spans="1:7" ht="15.75">
      <c r="A1015" s="207"/>
      <c r="B1015" s="111" t="s">
        <v>695</v>
      </c>
      <c r="C1015" s="105" t="s">
        <v>696</v>
      </c>
      <c r="D1015" s="104" t="s">
        <v>1</v>
      </c>
      <c r="E1015" s="209">
        <v>0.13</v>
      </c>
      <c r="F1015" s="155">
        <v>267.2254</v>
      </c>
      <c r="G1015" s="107">
        <f>ROUND(E1015*F1015,2)</f>
        <v>34.74</v>
      </c>
    </row>
    <row r="1016" spans="1:7" ht="15.75">
      <c r="A1016" s="207"/>
      <c r="B1016" s="111" t="s">
        <v>975</v>
      </c>
      <c r="C1016" s="105" t="s">
        <v>976</v>
      </c>
      <c r="D1016" s="104" t="s">
        <v>1</v>
      </c>
      <c r="E1016" s="209">
        <v>0.07</v>
      </c>
      <c r="F1016" s="155">
        <v>1815.4435</v>
      </c>
      <c r="G1016" s="107">
        <f>ROUND(E1016*F1016,2)</f>
        <v>127.08</v>
      </c>
    </row>
    <row r="1017" spans="1:7" ht="15.75">
      <c r="A1017" s="207"/>
      <c r="B1017" s="111"/>
      <c r="C1017" s="105"/>
      <c r="D1017" s="104"/>
      <c r="E1017" s="209" t="s">
        <v>7</v>
      </c>
      <c r="F1017" s="155"/>
      <c r="G1017" s="107">
        <f>ROUND(SUM(G993:G1016),2)</f>
        <v>1918.44</v>
      </c>
    </row>
    <row r="1018" spans="1:8" s="29" customFormat="1" ht="15.75">
      <c r="A1018" s="193" t="s">
        <v>307</v>
      </c>
      <c r="B1018" s="179" t="s">
        <v>1035</v>
      </c>
      <c r="C1018" s="145" t="s">
        <v>542</v>
      </c>
      <c r="D1018" s="179" t="s">
        <v>14</v>
      </c>
      <c r="E1018" s="195">
        <v>1</v>
      </c>
      <c r="F1018" s="33">
        <f>F1019-0.01</f>
        <v>48.910000000000004</v>
      </c>
      <c r="G1018" s="196">
        <f>ROUND((E1018*F1018),2)</f>
        <v>48.91</v>
      </c>
      <c r="H1018" s="180">
        <f>ROUND((F1018*1.2592),2)</f>
        <v>61.59</v>
      </c>
    </row>
    <row r="1019" spans="1:8" s="29" customFormat="1" ht="15">
      <c r="A1019" s="187" t="s">
        <v>151</v>
      </c>
      <c r="B1019" s="198" t="s">
        <v>1441</v>
      </c>
      <c r="C1019" s="139" t="s">
        <v>1442</v>
      </c>
      <c r="D1019" s="189" t="s">
        <v>14</v>
      </c>
      <c r="E1019" s="190">
        <v>1</v>
      </c>
      <c r="F1019" s="199">
        <f>G1023</f>
        <v>48.92</v>
      </c>
      <c r="G1019" s="192">
        <f>ROUND(E1019*F1019,2)</f>
        <v>48.92</v>
      </c>
      <c r="H1019" s="180"/>
    </row>
    <row r="1020" spans="1:8" s="29" customFormat="1" ht="30">
      <c r="A1020" s="187"/>
      <c r="B1020" s="198" t="s">
        <v>1084</v>
      </c>
      <c r="C1020" s="139" t="s">
        <v>1085</v>
      </c>
      <c r="D1020" s="189" t="s">
        <v>14</v>
      </c>
      <c r="E1020" s="190">
        <v>1</v>
      </c>
      <c r="F1020" s="199">
        <f>ROUND(37.94,2)</f>
        <v>37.94</v>
      </c>
      <c r="G1020" s="192">
        <f>ROUND(E1020*F1020,2)</f>
        <v>37.94</v>
      </c>
      <c r="H1020" s="180"/>
    </row>
    <row r="1021" spans="1:8" s="29" customFormat="1" ht="15">
      <c r="A1021" s="187"/>
      <c r="B1021" s="198" t="s">
        <v>1098</v>
      </c>
      <c r="C1021" s="139" t="s">
        <v>1099</v>
      </c>
      <c r="D1021" s="189" t="s">
        <v>6</v>
      </c>
      <c r="E1021" s="190">
        <v>0.2531</v>
      </c>
      <c r="F1021" s="199">
        <f>ROUND(24.28,2)</f>
        <v>24.28</v>
      </c>
      <c r="G1021" s="192">
        <f>ROUND(E1021*F1021,2)</f>
        <v>6.15</v>
      </c>
      <c r="H1021" s="180"/>
    </row>
    <row r="1022" spans="1:8" s="29" customFormat="1" ht="15">
      <c r="A1022" s="187"/>
      <c r="B1022" s="198" t="s">
        <v>1419</v>
      </c>
      <c r="C1022" s="139" t="s">
        <v>1420</v>
      </c>
      <c r="D1022" s="189" t="s">
        <v>6</v>
      </c>
      <c r="E1022" s="190">
        <v>0.2531</v>
      </c>
      <c r="F1022" s="199">
        <f>ROUND(19.09,2)</f>
        <v>19.09</v>
      </c>
      <c r="G1022" s="192">
        <f>ROUND(E1022*F1022,2)</f>
        <v>4.83</v>
      </c>
      <c r="H1022" s="180"/>
    </row>
    <row r="1023" spans="1:8" s="29" customFormat="1" ht="15">
      <c r="A1023" s="187"/>
      <c r="B1023" s="198"/>
      <c r="C1023" s="139"/>
      <c r="D1023" s="189"/>
      <c r="E1023" s="190" t="s">
        <v>7</v>
      </c>
      <c r="F1023" s="199"/>
      <c r="G1023" s="192">
        <f>ROUND(SUM(G1020:G1022),2)</f>
        <v>48.92</v>
      </c>
      <c r="H1023" s="180"/>
    </row>
    <row r="1024" spans="1:9" ht="30.75">
      <c r="A1024" s="205" t="s">
        <v>308</v>
      </c>
      <c r="B1024" s="54" t="s">
        <v>977</v>
      </c>
      <c r="C1024" s="56" t="s">
        <v>543</v>
      </c>
      <c r="D1024" s="54" t="s">
        <v>3</v>
      </c>
      <c r="E1024" s="54">
        <v>261</v>
      </c>
      <c r="F1024" s="119">
        <f>ROUND(F1025,2)-0.03</f>
        <v>3.1100000000000003</v>
      </c>
      <c r="G1024" s="35">
        <f>ROUND((E1024*F1024),2)</f>
        <v>811.71</v>
      </c>
      <c r="H1024" s="3"/>
      <c r="I1024" s="4"/>
    </row>
    <row r="1025" spans="1:9" ht="60">
      <c r="A1025" s="204" t="s">
        <v>162</v>
      </c>
      <c r="B1025" s="58" t="s">
        <v>977</v>
      </c>
      <c r="C1025" s="59" t="s">
        <v>978</v>
      </c>
      <c r="D1025" s="58" t="s">
        <v>3</v>
      </c>
      <c r="E1025" s="58">
        <v>1</v>
      </c>
      <c r="F1025" s="114">
        <f>G1030</f>
        <v>3.14</v>
      </c>
      <c r="G1025" s="60">
        <f>ROUND(E1025*F1025,2)</f>
        <v>3.14</v>
      </c>
      <c r="H1025" s="3"/>
      <c r="I1025" s="4"/>
    </row>
    <row r="1026" spans="1:9" ht="15.75">
      <c r="A1026" s="207"/>
      <c r="B1026" s="104" t="s">
        <v>309</v>
      </c>
      <c r="C1026" s="105" t="s">
        <v>979</v>
      </c>
      <c r="D1026" s="104" t="s">
        <v>3</v>
      </c>
      <c r="E1026" s="104">
        <v>1</v>
      </c>
      <c r="F1026" s="155">
        <v>1.2463</v>
      </c>
      <c r="G1026" s="107">
        <f>ROUND(E1026*F1026,2)</f>
        <v>1.25</v>
      </c>
      <c r="H1026" s="3"/>
      <c r="I1026" s="4"/>
    </row>
    <row r="1027" spans="1:9" ht="15.75">
      <c r="A1027" s="207"/>
      <c r="B1027" s="104" t="s">
        <v>77</v>
      </c>
      <c r="C1027" s="105" t="s">
        <v>631</v>
      </c>
      <c r="D1027" s="104" t="s">
        <v>14</v>
      </c>
      <c r="E1027" s="104">
        <v>0.0014</v>
      </c>
      <c r="F1027" s="155">
        <v>8.56</v>
      </c>
      <c r="G1027" s="107">
        <f>ROUND(E1027*F1027,2)</f>
        <v>0.01</v>
      </c>
      <c r="H1027" s="3"/>
      <c r="I1027" s="4"/>
    </row>
    <row r="1028" spans="1:9" ht="30">
      <c r="A1028" s="207"/>
      <c r="B1028" s="104" t="s">
        <v>597</v>
      </c>
      <c r="C1028" s="105" t="s">
        <v>598</v>
      </c>
      <c r="D1028" s="104" t="s">
        <v>6</v>
      </c>
      <c r="E1028" s="104">
        <v>0.06283</v>
      </c>
      <c r="F1028" s="155">
        <v>12.54</v>
      </c>
      <c r="G1028" s="107">
        <f>ROUND(E1028*F1028,2)</f>
        <v>0.79</v>
      </c>
      <c r="H1028" s="3"/>
      <c r="I1028" s="4"/>
    </row>
    <row r="1029" spans="1:9" ht="30">
      <c r="A1029" s="207"/>
      <c r="B1029" s="104" t="s">
        <v>669</v>
      </c>
      <c r="C1029" s="105" t="s">
        <v>670</v>
      </c>
      <c r="D1029" s="104" t="s">
        <v>6</v>
      </c>
      <c r="E1029" s="104">
        <v>0.06283</v>
      </c>
      <c r="F1029" s="155">
        <v>17.3</v>
      </c>
      <c r="G1029" s="107">
        <f>ROUND(E1029*F1029,2)</f>
        <v>1.09</v>
      </c>
      <c r="H1029" s="3"/>
      <c r="I1029" s="4"/>
    </row>
    <row r="1030" spans="1:9" ht="15.75">
      <c r="A1030" s="207"/>
      <c r="B1030" s="104"/>
      <c r="C1030" s="105"/>
      <c r="D1030" s="104"/>
      <c r="E1030" s="104" t="s">
        <v>7</v>
      </c>
      <c r="F1030" s="155"/>
      <c r="G1030" s="107">
        <f>ROUND(SUM(G1026:G1029),2)</f>
        <v>3.14</v>
      </c>
      <c r="H1030" s="3"/>
      <c r="I1030" s="4"/>
    </row>
    <row r="1031" spans="1:9" ht="30.75">
      <c r="A1031" s="108" t="s">
        <v>310</v>
      </c>
      <c r="B1031" s="108" t="s">
        <v>980</v>
      </c>
      <c r="C1031" s="109" t="s">
        <v>544</v>
      </c>
      <c r="D1031" s="108" t="s">
        <v>3</v>
      </c>
      <c r="E1031" s="108">
        <v>10</v>
      </c>
      <c r="F1031" s="116">
        <f>ROUND(F1032,2)-0.01</f>
        <v>5.58</v>
      </c>
      <c r="G1031" s="53">
        <f>ROUND((E1031*F1031),2)</f>
        <v>55.8</v>
      </c>
      <c r="H1031" s="3"/>
      <c r="I1031" s="4"/>
    </row>
    <row r="1032" spans="1:9" ht="60">
      <c r="A1032" s="57" t="s">
        <v>162</v>
      </c>
      <c r="B1032" s="58" t="s">
        <v>980</v>
      </c>
      <c r="C1032" s="59" t="s">
        <v>981</v>
      </c>
      <c r="D1032" s="58" t="s">
        <v>3</v>
      </c>
      <c r="E1032" s="58">
        <v>1</v>
      </c>
      <c r="F1032" s="114">
        <f>G1037</f>
        <v>5.59</v>
      </c>
      <c r="G1032" s="60">
        <f>ROUND(E1032*F1032,2)</f>
        <v>5.59</v>
      </c>
      <c r="H1032" s="3"/>
      <c r="I1032" s="4"/>
    </row>
    <row r="1033" spans="1:9" ht="15.75">
      <c r="A1033" s="106"/>
      <c r="B1033" s="104" t="s">
        <v>111</v>
      </c>
      <c r="C1033" s="105" t="s">
        <v>982</v>
      </c>
      <c r="D1033" s="104" t="s">
        <v>3</v>
      </c>
      <c r="E1033" s="104">
        <v>1</v>
      </c>
      <c r="F1033" s="155">
        <v>3.1217</v>
      </c>
      <c r="G1033" s="107">
        <f>ROUND(E1033*F1033,2)</f>
        <v>3.12</v>
      </c>
      <c r="H1033" s="3"/>
      <c r="I1033" s="4"/>
    </row>
    <row r="1034" spans="1:9" ht="15.75">
      <c r="A1034" s="106"/>
      <c r="B1034" s="104" t="s">
        <v>77</v>
      </c>
      <c r="C1034" s="105" t="s">
        <v>631</v>
      </c>
      <c r="D1034" s="104" t="s">
        <v>14</v>
      </c>
      <c r="E1034" s="104">
        <v>0.0014</v>
      </c>
      <c r="F1034" s="155">
        <v>8.56</v>
      </c>
      <c r="G1034" s="107">
        <f>ROUND(E1034*F1034,2)</f>
        <v>0.01</v>
      </c>
      <c r="H1034" s="3"/>
      <c r="I1034" s="4"/>
    </row>
    <row r="1035" spans="1:9" ht="30">
      <c r="A1035" s="106"/>
      <c r="B1035" s="104" t="s">
        <v>597</v>
      </c>
      <c r="C1035" s="105" t="s">
        <v>598</v>
      </c>
      <c r="D1035" s="104" t="s">
        <v>6</v>
      </c>
      <c r="E1035" s="104">
        <v>0.0824</v>
      </c>
      <c r="F1035" s="155">
        <v>12.54</v>
      </c>
      <c r="G1035" s="107">
        <f>ROUND(E1035*F1035,2)</f>
        <v>1.03</v>
      </c>
      <c r="H1035" s="3"/>
      <c r="I1035" s="4"/>
    </row>
    <row r="1036" spans="1:9" ht="30">
      <c r="A1036" s="106"/>
      <c r="B1036" s="104" t="s">
        <v>669</v>
      </c>
      <c r="C1036" s="105" t="s">
        <v>670</v>
      </c>
      <c r="D1036" s="104" t="s">
        <v>6</v>
      </c>
      <c r="E1036" s="104">
        <v>0.0824</v>
      </c>
      <c r="F1036" s="155">
        <v>17.3</v>
      </c>
      <c r="G1036" s="107">
        <f>ROUND(E1036*F1036,2)</f>
        <v>1.43</v>
      </c>
      <c r="H1036" s="3"/>
      <c r="I1036" s="4"/>
    </row>
    <row r="1037" spans="1:9" ht="15.75">
      <c r="A1037" s="106"/>
      <c r="B1037" s="104"/>
      <c r="C1037" s="105"/>
      <c r="D1037" s="104"/>
      <c r="E1037" s="104" t="s">
        <v>7</v>
      </c>
      <c r="F1037" s="155"/>
      <c r="G1037" s="107">
        <f>ROUND(SUM(G1033:G1036),2)</f>
        <v>5.59</v>
      </c>
      <c r="H1037" s="3"/>
      <c r="I1037" s="4"/>
    </row>
    <row r="1038" spans="1:9" ht="30.75">
      <c r="A1038" s="54" t="s">
        <v>311</v>
      </c>
      <c r="B1038" s="54" t="s">
        <v>983</v>
      </c>
      <c r="C1038" s="56" t="s">
        <v>545</v>
      </c>
      <c r="D1038" s="54" t="s">
        <v>3</v>
      </c>
      <c r="E1038" s="54">
        <v>91</v>
      </c>
      <c r="F1038" s="119">
        <f>ROUND(F1039,2)-0.02</f>
        <v>5.260000000000001</v>
      </c>
      <c r="G1038" s="35">
        <f>ROUND((E1038*F1038),2)</f>
        <v>478.66</v>
      </c>
      <c r="H1038" s="3"/>
      <c r="I1038" s="4"/>
    </row>
    <row r="1039" spans="1:9" ht="60">
      <c r="A1039" s="57" t="s">
        <v>162</v>
      </c>
      <c r="B1039" s="58" t="s">
        <v>983</v>
      </c>
      <c r="C1039" s="59" t="s">
        <v>984</v>
      </c>
      <c r="D1039" s="58" t="s">
        <v>3</v>
      </c>
      <c r="E1039" s="58">
        <v>1</v>
      </c>
      <c r="F1039" s="114">
        <f>G1043</f>
        <v>5.28</v>
      </c>
      <c r="G1039" s="60">
        <f>ROUND(E1039*F1039,2)</f>
        <v>5.28</v>
      </c>
      <c r="H1039" s="3"/>
      <c r="I1039" s="4"/>
    </row>
    <row r="1040" spans="1:9" ht="30">
      <c r="A1040" s="106"/>
      <c r="B1040" s="104" t="s">
        <v>22</v>
      </c>
      <c r="C1040" s="105" t="s">
        <v>956</v>
      </c>
      <c r="D1040" s="104" t="s">
        <v>14</v>
      </c>
      <c r="E1040" s="104">
        <v>0.385</v>
      </c>
      <c r="F1040" s="155">
        <v>4.14</v>
      </c>
      <c r="G1040" s="107">
        <f>ROUND(E1040*F1040,2)</f>
        <v>1.59</v>
      </c>
      <c r="H1040" s="3"/>
      <c r="I1040" s="4"/>
    </row>
    <row r="1041" spans="1:9" ht="30">
      <c r="A1041" s="106"/>
      <c r="B1041" s="104" t="s">
        <v>597</v>
      </c>
      <c r="C1041" s="105" t="s">
        <v>598</v>
      </c>
      <c r="D1041" s="104" t="s">
        <v>6</v>
      </c>
      <c r="E1041" s="104">
        <v>0.1236</v>
      </c>
      <c r="F1041" s="155">
        <v>12.54</v>
      </c>
      <c r="G1041" s="107">
        <f>ROUND(E1041*F1041,2)</f>
        <v>1.55</v>
      </c>
      <c r="H1041" s="3"/>
      <c r="I1041" s="4"/>
    </row>
    <row r="1042" spans="1:9" ht="30">
      <c r="A1042" s="106"/>
      <c r="B1042" s="104" t="s">
        <v>669</v>
      </c>
      <c r="C1042" s="105" t="s">
        <v>670</v>
      </c>
      <c r="D1042" s="104" t="s">
        <v>6</v>
      </c>
      <c r="E1042" s="104">
        <v>0.1236</v>
      </c>
      <c r="F1042" s="155">
        <v>17.3</v>
      </c>
      <c r="G1042" s="107">
        <f>ROUND(E1042*F1042,2)</f>
        <v>2.14</v>
      </c>
      <c r="H1042" s="3"/>
      <c r="I1042" s="4"/>
    </row>
    <row r="1043" spans="1:9" ht="15.75">
      <c r="A1043" s="106"/>
      <c r="B1043" s="104"/>
      <c r="C1043" s="105"/>
      <c r="D1043" s="104"/>
      <c r="E1043" s="104" t="s">
        <v>7</v>
      </c>
      <c r="F1043" s="155"/>
      <c r="G1043" s="107">
        <f>ROUND(SUM(G1040:G1042),2)</f>
        <v>5.28</v>
      </c>
      <c r="H1043" s="3"/>
      <c r="I1043" s="4"/>
    </row>
    <row r="1044" spans="1:9" ht="30.75">
      <c r="A1044" s="152" t="s">
        <v>312</v>
      </c>
      <c r="B1044" s="152" t="s">
        <v>985</v>
      </c>
      <c r="C1044" s="153" t="s">
        <v>546</v>
      </c>
      <c r="D1044" s="152" t="s">
        <v>3</v>
      </c>
      <c r="E1044" s="152">
        <v>10</v>
      </c>
      <c r="F1044" s="206">
        <f>ROUND(F1045,2)-0.01</f>
        <v>6.78</v>
      </c>
      <c r="G1044" s="154">
        <f>ROUND((E1044*F1044),2)</f>
        <v>67.8</v>
      </c>
      <c r="H1044" s="3"/>
      <c r="I1044" s="4"/>
    </row>
    <row r="1045" spans="1:9" ht="60">
      <c r="A1045" s="57" t="s">
        <v>162</v>
      </c>
      <c r="B1045" s="58" t="s">
        <v>985</v>
      </c>
      <c r="C1045" s="59" t="s">
        <v>986</v>
      </c>
      <c r="D1045" s="58" t="s">
        <v>3</v>
      </c>
      <c r="E1045" s="58">
        <v>1</v>
      </c>
      <c r="F1045" s="114">
        <f>G1049</f>
        <v>6.79</v>
      </c>
      <c r="G1045" s="60">
        <f>ROUND(E1045*F1045,2)</f>
        <v>6.79</v>
      </c>
      <c r="H1045" s="3"/>
      <c r="I1045" s="4"/>
    </row>
    <row r="1046" spans="1:9" ht="30">
      <c r="A1046" s="106"/>
      <c r="B1046" s="104" t="s">
        <v>112</v>
      </c>
      <c r="C1046" s="105" t="s">
        <v>987</v>
      </c>
      <c r="D1046" s="104" t="s">
        <v>14</v>
      </c>
      <c r="E1046" s="104">
        <v>0.385</v>
      </c>
      <c r="F1046" s="155">
        <v>6.47</v>
      </c>
      <c r="G1046" s="107">
        <f>ROUND(E1046*F1046,2)</f>
        <v>2.49</v>
      </c>
      <c r="H1046" s="3"/>
      <c r="I1046" s="4"/>
    </row>
    <row r="1047" spans="1:9" ht="30">
      <c r="A1047" s="106"/>
      <c r="B1047" s="104" t="s">
        <v>597</v>
      </c>
      <c r="C1047" s="105" t="s">
        <v>598</v>
      </c>
      <c r="D1047" s="104" t="s">
        <v>6</v>
      </c>
      <c r="E1047" s="104">
        <v>0.14420000000000002</v>
      </c>
      <c r="F1047" s="155">
        <v>12.54</v>
      </c>
      <c r="G1047" s="107">
        <f>ROUND(E1047*F1047,2)</f>
        <v>1.81</v>
      </c>
      <c r="H1047" s="3"/>
      <c r="I1047" s="4"/>
    </row>
    <row r="1048" spans="1:9" ht="30">
      <c r="A1048" s="106"/>
      <c r="B1048" s="104" t="s">
        <v>669</v>
      </c>
      <c r="C1048" s="105" t="s">
        <v>670</v>
      </c>
      <c r="D1048" s="104" t="s">
        <v>6</v>
      </c>
      <c r="E1048" s="104">
        <v>0.14420000000000002</v>
      </c>
      <c r="F1048" s="155">
        <v>17.3</v>
      </c>
      <c r="G1048" s="107">
        <f>ROUND(E1048*F1048,2)</f>
        <v>2.49</v>
      </c>
      <c r="H1048" s="3"/>
      <c r="I1048" s="4"/>
    </row>
    <row r="1049" spans="1:9" ht="15.75">
      <c r="A1049" s="106"/>
      <c r="B1049" s="104"/>
      <c r="C1049" s="105"/>
      <c r="D1049" s="104"/>
      <c r="E1049" s="104" t="s">
        <v>7</v>
      </c>
      <c r="F1049" s="155"/>
      <c r="G1049" s="107">
        <f>ROUND(SUM(G1046:G1048),2)</f>
        <v>6.79</v>
      </c>
      <c r="H1049" s="3"/>
      <c r="I1049" s="4"/>
    </row>
    <row r="1050" spans="1:9" ht="45">
      <c r="A1050" s="26" t="s">
        <v>1224</v>
      </c>
      <c r="B1050" s="26" t="s">
        <v>1222</v>
      </c>
      <c r="C1050" s="27" t="s">
        <v>1223</v>
      </c>
      <c r="D1050" s="26" t="s">
        <v>14</v>
      </c>
      <c r="E1050" s="26">
        <v>4</v>
      </c>
      <c r="F1050" s="120">
        <f>ROUND(F1051,2)-0.01</f>
        <v>165.31</v>
      </c>
      <c r="G1050" s="28">
        <f>ROUND((E1050*F1050),2)</f>
        <v>661.24</v>
      </c>
      <c r="H1050" s="3"/>
      <c r="I1050" s="4"/>
    </row>
    <row r="1051" spans="1:8" s="29" customFormat="1" ht="45">
      <c r="A1051" s="187"/>
      <c r="B1051" s="188" t="s">
        <v>1222</v>
      </c>
      <c r="C1051" s="139" t="s">
        <v>1223</v>
      </c>
      <c r="D1051" s="189" t="s">
        <v>14</v>
      </c>
      <c r="E1051" s="190">
        <v>1</v>
      </c>
      <c r="F1051" s="199">
        <f>G1053</f>
        <v>165.32</v>
      </c>
      <c r="G1051" s="192">
        <f>ROUND(E1051*F1051,2)</f>
        <v>165.32</v>
      </c>
      <c r="H1051" s="180"/>
    </row>
    <row r="1052" spans="1:8" s="29" customFormat="1" ht="30">
      <c r="A1052" s="187"/>
      <c r="B1052" s="188" t="s">
        <v>944</v>
      </c>
      <c r="C1052" s="139" t="s">
        <v>945</v>
      </c>
      <c r="D1052" s="189" t="s">
        <v>6</v>
      </c>
      <c r="E1052" s="190">
        <v>15.450000000000001</v>
      </c>
      <c r="F1052" s="199">
        <v>10.7</v>
      </c>
      <c r="G1052" s="192">
        <f>ROUND(E1052*F1052,2)</f>
        <v>165.32</v>
      </c>
      <c r="H1052" s="180"/>
    </row>
    <row r="1053" spans="1:8" s="29" customFormat="1" ht="15">
      <c r="A1053" s="187"/>
      <c r="B1053" s="188"/>
      <c r="C1053" s="139"/>
      <c r="D1053" s="189"/>
      <c r="E1053" s="190" t="s">
        <v>7</v>
      </c>
      <c r="F1053" s="199"/>
      <c r="G1053" s="192">
        <f>ROUND(SUM(G1052:G1052),2)</f>
        <v>165.32</v>
      </c>
      <c r="H1053" s="180"/>
    </row>
    <row r="1054" spans="1:7" s="172" customFormat="1" ht="15.75">
      <c r="A1054" s="170" t="s">
        <v>162</v>
      </c>
      <c r="B1054" s="170"/>
      <c r="C1054" s="171"/>
      <c r="D1054" s="170"/>
      <c r="E1054" s="170"/>
      <c r="F1054" s="170" t="s">
        <v>313</v>
      </c>
      <c r="G1054" s="169">
        <f>G893+G898+G903+G907+G912+G917+G930+G937+G947+G953+G957+G963+G970+G977+G984+G991+G1018+G1024+G1031+G1038+G1044+G1050</f>
        <v>15813.619999999994</v>
      </c>
    </row>
    <row r="1055" spans="1:8" ht="15.75">
      <c r="A1055" s="127" t="s">
        <v>39</v>
      </c>
      <c r="B1055" s="127"/>
      <c r="C1055" s="128" t="s">
        <v>482</v>
      </c>
      <c r="D1055" s="127"/>
      <c r="E1055" s="127"/>
      <c r="F1055" s="127"/>
      <c r="G1055" s="127"/>
      <c r="H1055" s="2"/>
    </row>
    <row r="1056" spans="1:8" ht="30.75">
      <c r="A1056" s="26" t="s">
        <v>314</v>
      </c>
      <c r="B1056" s="26" t="s">
        <v>1036</v>
      </c>
      <c r="C1056" s="27" t="s">
        <v>1240</v>
      </c>
      <c r="D1056" s="26" t="s">
        <v>0</v>
      </c>
      <c r="E1056" s="26">
        <v>105.04</v>
      </c>
      <c r="F1056" s="120">
        <v>2.4</v>
      </c>
      <c r="G1056" s="28">
        <f>ROUND((E1056*F1056),2)</f>
        <v>252.1</v>
      </c>
      <c r="H1056" s="2"/>
    </row>
    <row r="1057" spans="1:8" ht="15.75">
      <c r="A1057" s="106" t="s">
        <v>151</v>
      </c>
      <c r="B1057" s="104" t="s">
        <v>1443</v>
      </c>
      <c r="C1057" s="105" t="s">
        <v>1444</v>
      </c>
      <c r="D1057" s="104" t="s">
        <v>0</v>
      </c>
      <c r="E1057" s="104">
        <v>1</v>
      </c>
      <c r="F1057" s="155">
        <f>ROUND(2.4073,2)</f>
        <v>2.41</v>
      </c>
      <c r="G1057" s="107">
        <f>ROUND(E1057*F1057,2)</f>
        <v>2.41</v>
      </c>
      <c r="H1057" s="2"/>
    </row>
    <row r="1058" spans="1:8" ht="15.75">
      <c r="A1058" s="106"/>
      <c r="B1058" s="104" t="s">
        <v>1445</v>
      </c>
      <c r="C1058" s="105" t="s">
        <v>1446</v>
      </c>
      <c r="D1058" s="104" t="s">
        <v>18</v>
      </c>
      <c r="E1058" s="104">
        <v>0.16</v>
      </c>
      <c r="F1058" s="155">
        <f>ROUND(7.51,2)</f>
        <v>7.51</v>
      </c>
      <c r="G1058" s="107">
        <f>ROUND(E1058*F1058,2)</f>
        <v>1.2</v>
      </c>
      <c r="H1058" s="2"/>
    </row>
    <row r="1059" spans="1:8" ht="15.75">
      <c r="A1059" s="106"/>
      <c r="B1059" s="104" t="s">
        <v>119</v>
      </c>
      <c r="C1059" s="105" t="s">
        <v>120</v>
      </c>
      <c r="D1059" s="104" t="s">
        <v>6</v>
      </c>
      <c r="E1059" s="104">
        <v>0.014</v>
      </c>
      <c r="F1059" s="155">
        <f>ROUND(19.32,2)</f>
        <v>19.32</v>
      </c>
      <c r="G1059" s="107">
        <f>ROUND(E1059*F1059,2)</f>
        <v>0.27</v>
      </c>
      <c r="H1059" s="2"/>
    </row>
    <row r="1060" spans="1:8" ht="15.75">
      <c r="A1060" s="106"/>
      <c r="B1060" s="104" t="s">
        <v>1447</v>
      </c>
      <c r="C1060" s="105" t="s">
        <v>1448</v>
      </c>
      <c r="D1060" s="104" t="s">
        <v>6</v>
      </c>
      <c r="E1060" s="104">
        <v>0.039</v>
      </c>
      <c r="F1060" s="155">
        <f>ROUND(23.98,2)</f>
        <v>23.98</v>
      </c>
      <c r="G1060" s="107">
        <f>ROUND(E1060*F1060,2)</f>
        <v>0.94</v>
      </c>
      <c r="H1060" s="2"/>
    </row>
    <row r="1061" spans="1:8" ht="15.75">
      <c r="A1061" s="106"/>
      <c r="B1061" s="104"/>
      <c r="C1061" s="105"/>
      <c r="D1061" s="104"/>
      <c r="E1061" s="104" t="s">
        <v>7</v>
      </c>
      <c r="F1061" s="155"/>
      <c r="G1061" s="107">
        <f>ROUND(SUM(G1058:G1060),2)</f>
        <v>2.41</v>
      </c>
      <c r="H1061" s="2"/>
    </row>
    <row r="1062" spans="1:8" ht="30.75">
      <c r="A1062" s="26" t="s">
        <v>315</v>
      </c>
      <c r="B1062" s="26" t="s">
        <v>1037</v>
      </c>
      <c r="C1062" s="27" t="s">
        <v>1241</v>
      </c>
      <c r="D1062" s="26" t="s">
        <v>0</v>
      </c>
      <c r="E1062" s="26">
        <v>105.04</v>
      </c>
      <c r="F1062" s="120">
        <f>ROUND(F1063,2)</f>
        <v>11.98</v>
      </c>
      <c r="G1062" s="28">
        <f>ROUND((E1062*F1062),2)</f>
        <v>1258.38</v>
      </c>
      <c r="H1062" s="2"/>
    </row>
    <row r="1063" spans="1:8" ht="30">
      <c r="A1063" s="106" t="s">
        <v>151</v>
      </c>
      <c r="B1063" s="104" t="s">
        <v>1449</v>
      </c>
      <c r="C1063" s="105" t="s">
        <v>1450</v>
      </c>
      <c r="D1063" s="104" t="s">
        <v>0</v>
      </c>
      <c r="E1063" s="104">
        <v>1</v>
      </c>
      <c r="F1063" s="155">
        <f>G1067</f>
        <v>11.98</v>
      </c>
      <c r="G1063" s="107">
        <f>ROUND(E1063*F1063,2)</f>
        <v>11.98</v>
      </c>
      <c r="H1063" s="2"/>
    </row>
    <row r="1064" spans="1:8" ht="15.75">
      <c r="A1064" s="106"/>
      <c r="B1064" s="104" t="s">
        <v>1451</v>
      </c>
      <c r="C1064" s="105" t="s">
        <v>1452</v>
      </c>
      <c r="D1064" s="104" t="s">
        <v>18</v>
      </c>
      <c r="E1064" s="104">
        <v>0.33</v>
      </c>
      <c r="F1064" s="155">
        <f>ROUND(18.7,2)</f>
        <v>18.7</v>
      </c>
      <c r="G1064" s="107">
        <f>ROUND(E1064*F1064,2)</f>
        <v>6.17</v>
      </c>
      <c r="H1064" s="2"/>
    </row>
    <row r="1065" spans="1:8" ht="15.75">
      <c r="A1065" s="106"/>
      <c r="B1065" s="104" t="s">
        <v>119</v>
      </c>
      <c r="C1065" s="105" t="s">
        <v>120</v>
      </c>
      <c r="D1065" s="104" t="s">
        <v>6</v>
      </c>
      <c r="E1065" s="104">
        <v>0.069</v>
      </c>
      <c r="F1065" s="155">
        <f>ROUND(19.32,2)</f>
        <v>19.32</v>
      </c>
      <c r="G1065" s="107">
        <f>ROUND(E1065*F1065,2)</f>
        <v>1.33</v>
      </c>
      <c r="H1065" s="2"/>
    </row>
    <row r="1066" spans="1:8" ht="15.75">
      <c r="A1066" s="106"/>
      <c r="B1066" s="104" t="s">
        <v>1447</v>
      </c>
      <c r="C1066" s="105" t="s">
        <v>1448</v>
      </c>
      <c r="D1066" s="104" t="s">
        <v>6</v>
      </c>
      <c r="E1066" s="104">
        <v>0.187</v>
      </c>
      <c r="F1066" s="155">
        <f>ROUND(23.98,2)</f>
        <v>23.98</v>
      </c>
      <c r="G1066" s="107">
        <f>ROUND(E1066*F1066,2)</f>
        <v>4.48</v>
      </c>
      <c r="H1066" s="2"/>
    </row>
    <row r="1067" spans="1:8" ht="15.75">
      <c r="A1067" s="106"/>
      <c r="B1067" s="104"/>
      <c r="C1067" s="105"/>
      <c r="D1067" s="104"/>
      <c r="E1067" s="104" t="s">
        <v>7</v>
      </c>
      <c r="F1067" s="155"/>
      <c r="G1067" s="107">
        <f>ROUND(SUM(G1064:G1066),2)</f>
        <v>11.98</v>
      </c>
      <c r="H1067" s="2"/>
    </row>
    <row r="1068" spans="1:8" s="293" customFormat="1" ht="45">
      <c r="A1068" s="144" t="s">
        <v>316</v>
      </c>
      <c r="B1068" s="144" t="s">
        <v>1230</v>
      </c>
      <c r="C1068" s="145" t="s">
        <v>1284</v>
      </c>
      <c r="D1068" s="144" t="s">
        <v>0</v>
      </c>
      <c r="E1068" s="279">
        <v>193</v>
      </c>
      <c r="F1068" s="146">
        <v>9.76</v>
      </c>
      <c r="G1068" s="28">
        <f>ROUND((E1068*F1068),2)</f>
        <v>1883.68</v>
      </c>
      <c r="H1068" s="428"/>
    </row>
    <row r="1069" spans="1:8" s="426" customFormat="1" ht="60">
      <c r="A1069" s="416" t="s">
        <v>151</v>
      </c>
      <c r="B1069" s="409" t="s">
        <v>1230</v>
      </c>
      <c r="C1069" s="410" t="s">
        <v>1231</v>
      </c>
      <c r="D1069" s="409" t="s">
        <v>0</v>
      </c>
      <c r="E1069" s="409">
        <v>1</v>
      </c>
      <c r="F1069" s="427">
        <f>G1075</f>
        <v>9.97</v>
      </c>
      <c r="G1069" s="45">
        <f>ROUND(E1069*F1069,2)</f>
        <v>9.97</v>
      </c>
      <c r="H1069" s="2"/>
    </row>
    <row r="1070" spans="1:8" s="426" customFormat="1" ht="15.75">
      <c r="A1070" s="416"/>
      <c r="B1070" s="409" t="s">
        <v>1232</v>
      </c>
      <c r="C1070" s="410" t="s">
        <v>1233</v>
      </c>
      <c r="D1070" s="409" t="s">
        <v>14</v>
      </c>
      <c r="E1070" s="409">
        <v>0.5</v>
      </c>
      <c r="F1070" s="427">
        <v>0.65</v>
      </c>
      <c r="G1070" s="45">
        <f>ROUND(E1070*F1070,2)</f>
        <v>0.33</v>
      </c>
      <c r="H1070" s="2"/>
    </row>
    <row r="1071" spans="1:8" s="426" customFormat="1" ht="30">
      <c r="A1071" s="416"/>
      <c r="B1071" s="409" t="s">
        <v>1234</v>
      </c>
      <c r="C1071" s="410" t="s">
        <v>1235</v>
      </c>
      <c r="D1071" s="409" t="s">
        <v>14</v>
      </c>
      <c r="E1071" s="409">
        <v>0.005</v>
      </c>
      <c r="F1071" s="427">
        <v>139.88</v>
      </c>
      <c r="G1071" s="45">
        <f>ROUND(E1071*F1071,2)</f>
        <v>0.7</v>
      </c>
      <c r="H1071" s="2"/>
    </row>
    <row r="1072" spans="1:8" s="426" customFormat="1" ht="15.75">
      <c r="A1072" s="416"/>
      <c r="B1072" s="409" t="s">
        <v>1236</v>
      </c>
      <c r="C1072" s="410" t="s">
        <v>1237</v>
      </c>
      <c r="D1072" s="409" t="s">
        <v>113</v>
      </c>
      <c r="E1072" s="409">
        <v>0.03</v>
      </c>
      <c r="F1072" s="427">
        <v>32.85</v>
      </c>
      <c r="G1072" s="45">
        <f>ROUND(E1072*F1072,2)</f>
        <v>0.99</v>
      </c>
      <c r="H1072" s="2"/>
    </row>
    <row r="1073" spans="1:8" s="426" customFormat="1" ht="30">
      <c r="A1073" s="416"/>
      <c r="B1073" s="409" t="s">
        <v>597</v>
      </c>
      <c r="C1073" s="410" t="s">
        <v>598</v>
      </c>
      <c r="D1073" s="409" t="s">
        <v>6</v>
      </c>
      <c r="E1073" s="409">
        <v>0.1648</v>
      </c>
      <c r="F1073" s="427">
        <v>12.54</v>
      </c>
      <c r="G1073" s="45">
        <f>ROUND(E1073*F1073,2)</f>
        <v>2.07</v>
      </c>
      <c r="H1073" s="2"/>
    </row>
    <row r="1074" spans="1:8" s="426" customFormat="1" ht="15.75">
      <c r="A1074" s="416"/>
      <c r="B1074" s="409" t="s">
        <v>599</v>
      </c>
      <c r="C1074" s="410" t="s">
        <v>600</v>
      </c>
      <c r="D1074" s="409" t="s">
        <v>6</v>
      </c>
      <c r="E1074" s="409">
        <v>0.33990000000000004</v>
      </c>
      <c r="F1074" s="427">
        <v>17.3</v>
      </c>
      <c r="G1074" s="45">
        <f>ROUND(E1074*F1074,2)</f>
        <v>5.88</v>
      </c>
      <c r="H1074" s="2"/>
    </row>
    <row r="1075" spans="1:8" s="426" customFormat="1" ht="15.75">
      <c r="A1075" s="416"/>
      <c r="B1075" s="409"/>
      <c r="C1075" s="410"/>
      <c r="D1075" s="409"/>
      <c r="E1075" s="409" t="s">
        <v>7</v>
      </c>
      <c r="F1075" s="427"/>
      <c r="G1075" s="45">
        <f>ROUND(SUM(G1070:G1074),2)</f>
        <v>9.97</v>
      </c>
      <c r="H1075" s="2"/>
    </row>
    <row r="1076" spans="1:8" ht="45.75">
      <c r="A1076" s="26" t="s">
        <v>319</v>
      </c>
      <c r="B1076" s="26" t="s">
        <v>988</v>
      </c>
      <c r="C1076" s="27" t="s">
        <v>1288</v>
      </c>
      <c r="D1076" s="26" t="s">
        <v>0</v>
      </c>
      <c r="E1076" s="26">
        <v>119.92</v>
      </c>
      <c r="F1076" s="120">
        <v>15.79</v>
      </c>
      <c r="G1076" s="28">
        <f>ROUND((E1076*F1076),2)</f>
        <v>1893.54</v>
      </c>
      <c r="H1076" s="2"/>
    </row>
    <row r="1077" spans="1:8" ht="60">
      <c r="A1077" s="57" t="s">
        <v>151</v>
      </c>
      <c r="B1077" s="58" t="s">
        <v>988</v>
      </c>
      <c r="C1077" s="59" t="s">
        <v>989</v>
      </c>
      <c r="D1077" s="58" t="s">
        <v>0</v>
      </c>
      <c r="E1077" s="58">
        <v>1</v>
      </c>
      <c r="F1077" s="114">
        <f>G1083</f>
        <v>15.82</v>
      </c>
      <c r="G1077" s="60">
        <f>ROUND(E1077*F1077,2)</f>
        <v>15.82</v>
      </c>
      <c r="H1077" s="2"/>
    </row>
    <row r="1078" spans="1:8" ht="15.75">
      <c r="A1078" s="106"/>
      <c r="B1078" s="104" t="s">
        <v>317</v>
      </c>
      <c r="C1078" s="105" t="s">
        <v>990</v>
      </c>
      <c r="D1078" s="104" t="s">
        <v>113</v>
      </c>
      <c r="E1078" s="104">
        <v>0.035</v>
      </c>
      <c r="F1078" s="155">
        <v>178.5</v>
      </c>
      <c r="G1078" s="107">
        <f>ROUND(E1078*F1078,2)</f>
        <v>6.25</v>
      </c>
      <c r="H1078" s="2"/>
    </row>
    <row r="1079" spans="1:8" ht="15.75">
      <c r="A1079" s="106"/>
      <c r="B1079" s="104" t="s">
        <v>318</v>
      </c>
      <c r="C1079" s="105" t="s">
        <v>991</v>
      </c>
      <c r="D1079" s="104" t="s">
        <v>5</v>
      </c>
      <c r="E1079" s="104">
        <v>0.025</v>
      </c>
      <c r="F1079" s="155">
        <v>20.61</v>
      </c>
      <c r="G1079" s="107">
        <f>ROUND(E1079*F1079,2)</f>
        <v>0.52</v>
      </c>
      <c r="H1079" s="2"/>
    </row>
    <row r="1080" spans="1:8" ht="15.75">
      <c r="A1080" s="106"/>
      <c r="B1080" s="104" t="s">
        <v>114</v>
      </c>
      <c r="C1080" s="105" t="s">
        <v>992</v>
      </c>
      <c r="D1080" s="104" t="s">
        <v>113</v>
      </c>
      <c r="E1080" s="104">
        <v>0.05</v>
      </c>
      <c r="F1080" s="155">
        <v>59.78</v>
      </c>
      <c r="G1080" s="107">
        <f>ROUND(E1080*F1080,2)</f>
        <v>2.99</v>
      </c>
      <c r="H1080" s="2"/>
    </row>
    <row r="1081" spans="1:8" ht="30">
      <c r="A1081" s="106"/>
      <c r="B1081" s="104" t="s">
        <v>597</v>
      </c>
      <c r="C1081" s="105" t="s">
        <v>598</v>
      </c>
      <c r="D1081" s="104" t="s">
        <v>6</v>
      </c>
      <c r="E1081" s="104">
        <v>0.12875</v>
      </c>
      <c r="F1081" s="155">
        <v>12.54</v>
      </c>
      <c r="G1081" s="107">
        <f>ROUND(E1081*F1081,2)</f>
        <v>1.61</v>
      </c>
      <c r="H1081" s="2"/>
    </row>
    <row r="1082" spans="1:8" ht="15.75">
      <c r="A1082" s="106"/>
      <c r="B1082" s="104" t="s">
        <v>599</v>
      </c>
      <c r="C1082" s="105" t="s">
        <v>600</v>
      </c>
      <c r="D1082" s="104" t="s">
        <v>6</v>
      </c>
      <c r="E1082" s="104">
        <v>0.2575</v>
      </c>
      <c r="F1082" s="155">
        <v>17.3</v>
      </c>
      <c r="G1082" s="107">
        <f>ROUND(E1082*F1082,2)</f>
        <v>4.45</v>
      </c>
      <c r="H1082" s="2"/>
    </row>
    <row r="1083" spans="1:8" ht="15.75">
      <c r="A1083" s="106"/>
      <c r="B1083" s="104"/>
      <c r="C1083" s="105"/>
      <c r="D1083" s="104"/>
      <c r="E1083" s="104" t="s">
        <v>7</v>
      </c>
      <c r="F1083" s="155"/>
      <c r="G1083" s="107">
        <f>ROUND(SUM(G1078:G1082),2)</f>
        <v>15.82</v>
      </c>
      <c r="H1083" s="2"/>
    </row>
    <row r="1084" spans="1:8" ht="15.75">
      <c r="A1084" s="26" t="s">
        <v>320</v>
      </c>
      <c r="B1084" s="26" t="s">
        <v>1038</v>
      </c>
      <c r="C1084" s="27" t="s">
        <v>1286</v>
      </c>
      <c r="D1084" s="26" t="s">
        <v>0</v>
      </c>
      <c r="E1084" s="26">
        <v>221.63</v>
      </c>
      <c r="F1084" s="120">
        <f>ROUND(F1085,2)</f>
        <v>15.34</v>
      </c>
      <c r="G1084" s="28">
        <f>ROUND((E1084*F1084),2)</f>
        <v>3399.8</v>
      </c>
      <c r="H1084" s="2"/>
    </row>
    <row r="1085" spans="1:8" ht="15.75">
      <c r="A1085" s="106" t="s">
        <v>151</v>
      </c>
      <c r="B1085" s="104" t="s">
        <v>1453</v>
      </c>
      <c r="C1085" s="105" t="s">
        <v>1454</v>
      </c>
      <c r="D1085" s="104" t="s">
        <v>0</v>
      </c>
      <c r="E1085" s="104">
        <v>1</v>
      </c>
      <c r="F1085" s="155">
        <f>G1089</f>
        <v>15.34</v>
      </c>
      <c r="G1085" s="107">
        <f>ROUND(E1085*F1085,2)</f>
        <v>15.34</v>
      </c>
      <c r="H1085" s="2"/>
    </row>
    <row r="1086" spans="1:8" ht="15.75">
      <c r="A1086" s="106"/>
      <c r="B1086" s="104" t="s">
        <v>1455</v>
      </c>
      <c r="C1086" s="105" t="s">
        <v>1456</v>
      </c>
      <c r="D1086" s="104" t="s">
        <v>18</v>
      </c>
      <c r="E1086" s="104">
        <v>0.17</v>
      </c>
      <c r="F1086" s="155">
        <f>ROUND(12.48,2)</f>
        <v>12.48</v>
      </c>
      <c r="G1086" s="107">
        <f>ROUND(E1086*F1086,2)</f>
        <v>2.12</v>
      </c>
      <c r="H1086" s="2"/>
    </row>
    <row r="1087" spans="1:8" ht="15.75">
      <c r="A1087" s="106"/>
      <c r="B1087" s="104" t="s">
        <v>119</v>
      </c>
      <c r="C1087" s="105" t="s">
        <v>120</v>
      </c>
      <c r="D1087" s="104" t="s">
        <v>6</v>
      </c>
      <c r="E1087" s="104">
        <v>0.25</v>
      </c>
      <c r="F1087" s="155">
        <f>ROUND(19.32,2)</f>
        <v>19.32</v>
      </c>
      <c r="G1087" s="107">
        <f>ROUND(E1087*F1087,2)</f>
        <v>4.83</v>
      </c>
      <c r="H1087" s="2"/>
    </row>
    <row r="1088" spans="1:8" ht="15.75">
      <c r="A1088" s="106"/>
      <c r="B1088" s="104" t="s">
        <v>1447</v>
      </c>
      <c r="C1088" s="105" t="s">
        <v>1448</v>
      </c>
      <c r="D1088" s="104" t="s">
        <v>6</v>
      </c>
      <c r="E1088" s="104">
        <v>0.35</v>
      </c>
      <c r="F1088" s="155">
        <f>ROUND(23.98,2)</f>
        <v>23.98</v>
      </c>
      <c r="G1088" s="107">
        <f>ROUND(E1088*F1088,2)</f>
        <v>8.39</v>
      </c>
      <c r="H1088" s="2"/>
    </row>
    <row r="1089" spans="1:8" ht="15.75">
      <c r="A1089" s="106"/>
      <c r="B1089" s="104"/>
      <c r="C1089" s="105"/>
      <c r="D1089" s="104"/>
      <c r="E1089" s="104" t="s">
        <v>7</v>
      </c>
      <c r="F1089" s="155"/>
      <c r="G1089" s="107">
        <f>ROUND(SUM(G1086:G1088),2)</f>
        <v>15.34</v>
      </c>
      <c r="H1089" s="2"/>
    </row>
    <row r="1090" spans="1:8" ht="30">
      <c r="A1090" s="54" t="s">
        <v>1238</v>
      </c>
      <c r="B1090" s="54" t="s">
        <v>1039</v>
      </c>
      <c r="C1090" s="56" t="s">
        <v>1287</v>
      </c>
      <c r="D1090" s="54" t="s">
        <v>3</v>
      </c>
      <c r="E1090" s="54">
        <v>173.3</v>
      </c>
      <c r="F1090" s="119">
        <v>12.54</v>
      </c>
      <c r="G1090" s="35">
        <f>ROUND((E1090*F1090),2)</f>
        <v>2173.18</v>
      </c>
      <c r="H1090" s="2"/>
    </row>
    <row r="1091" spans="1:8" ht="30">
      <c r="A1091" s="57" t="s">
        <v>151</v>
      </c>
      <c r="B1091" s="58" t="s">
        <v>1457</v>
      </c>
      <c r="C1091" s="59" t="s">
        <v>1458</v>
      </c>
      <c r="D1091" s="58" t="s">
        <v>3</v>
      </c>
      <c r="E1091" s="58">
        <v>1</v>
      </c>
      <c r="F1091" s="114">
        <f>G1096</f>
        <v>12.56</v>
      </c>
      <c r="G1091" s="60">
        <f>ROUND(E1091*F1091,2)</f>
        <v>12.56</v>
      </c>
      <c r="H1091" s="2"/>
    </row>
    <row r="1092" spans="1:8" ht="15.75">
      <c r="A1092" s="106"/>
      <c r="B1092" s="104" t="s">
        <v>1459</v>
      </c>
      <c r="C1092" s="105" t="s">
        <v>1460</v>
      </c>
      <c r="D1092" s="104" t="s">
        <v>14</v>
      </c>
      <c r="E1092" s="104">
        <v>0.02</v>
      </c>
      <c r="F1092" s="155">
        <f>ROUND(6.43,2)</f>
        <v>6.43</v>
      </c>
      <c r="G1092" s="107">
        <f>ROUND(E1092*F1092,2)</f>
        <v>0.13</v>
      </c>
      <c r="H1092" s="2"/>
    </row>
    <row r="1093" spans="1:8" ht="15.75">
      <c r="A1093" s="106"/>
      <c r="B1093" s="104" t="s">
        <v>1455</v>
      </c>
      <c r="C1093" s="105" t="s">
        <v>1456</v>
      </c>
      <c r="D1093" s="104" t="s">
        <v>18</v>
      </c>
      <c r="E1093" s="104">
        <v>0.03</v>
      </c>
      <c r="F1093" s="155">
        <f>ROUND(12.48,2)</f>
        <v>12.48</v>
      </c>
      <c r="G1093" s="107">
        <f>ROUND(E1093*F1093,2)</f>
        <v>0.37</v>
      </c>
      <c r="H1093" s="2"/>
    </row>
    <row r="1094" spans="1:8" ht="15.75">
      <c r="A1094" s="106"/>
      <c r="B1094" s="104" t="s">
        <v>119</v>
      </c>
      <c r="C1094" s="105" t="s">
        <v>120</v>
      </c>
      <c r="D1094" s="104" t="s">
        <v>6</v>
      </c>
      <c r="E1094" s="104">
        <v>0.5</v>
      </c>
      <c r="F1094" s="155">
        <f>ROUND(19.32,2)</f>
        <v>19.32</v>
      </c>
      <c r="G1094" s="107">
        <f>ROUND(E1094*F1094,2)</f>
        <v>9.66</v>
      </c>
      <c r="H1094" s="2"/>
    </row>
    <row r="1095" spans="1:8" ht="15.75">
      <c r="A1095" s="106"/>
      <c r="B1095" s="104" t="s">
        <v>1447</v>
      </c>
      <c r="C1095" s="105" t="s">
        <v>1448</v>
      </c>
      <c r="D1095" s="104" t="s">
        <v>6</v>
      </c>
      <c r="E1095" s="104">
        <v>0.1</v>
      </c>
      <c r="F1095" s="155">
        <f>ROUND(23.98,2)</f>
        <v>23.98</v>
      </c>
      <c r="G1095" s="107">
        <f>ROUND(E1095*F1095,2)</f>
        <v>2.4</v>
      </c>
      <c r="H1095" s="2"/>
    </row>
    <row r="1096" spans="1:8" ht="15.75">
      <c r="A1096" s="106"/>
      <c r="B1096" s="104"/>
      <c r="C1096" s="105"/>
      <c r="D1096" s="104"/>
      <c r="E1096" s="104" t="s">
        <v>7</v>
      </c>
      <c r="F1096" s="155"/>
      <c r="G1096" s="107">
        <f>ROUND(SUM(G1092:G1095),2)</f>
        <v>12.56</v>
      </c>
      <c r="H1096" s="2"/>
    </row>
    <row r="1097" spans="1:7" s="172" customFormat="1" ht="15.75">
      <c r="A1097" s="170" t="s">
        <v>162</v>
      </c>
      <c r="B1097" s="170"/>
      <c r="C1097" s="171"/>
      <c r="D1097" s="170"/>
      <c r="E1097" s="170"/>
      <c r="F1097" s="170" t="s">
        <v>321</v>
      </c>
      <c r="G1097" s="169">
        <f>G1056+G1062+G1068+G1076+G1084+G1090</f>
        <v>10860.68</v>
      </c>
    </row>
    <row r="1098" spans="1:8" ht="15.75">
      <c r="A1098" s="150" t="s">
        <v>40</v>
      </c>
      <c r="B1098" s="122"/>
      <c r="C1098" s="123" t="s">
        <v>483</v>
      </c>
      <c r="D1098" s="122"/>
      <c r="E1098" s="122"/>
      <c r="F1098" s="122"/>
      <c r="G1098" s="122"/>
      <c r="H1098" s="2"/>
    </row>
    <row r="1099" spans="1:8" ht="30.75">
      <c r="A1099" s="49" t="s">
        <v>145</v>
      </c>
      <c r="B1099" s="65" t="s">
        <v>993</v>
      </c>
      <c r="C1099" s="50" t="s">
        <v>1300</v>
      </c>
      <c r="D1099" s="51" t="s">
        <v>29</v>
      </c>
      <c r="E1099" s="51">
        <v>1</v>
      </c>
      <c r="F1099" s="52">
        <f>ROUND(F1100,2)</f>
        <v>1963.5</v>
      </c>
      <c r="G1099" s="53">
        <f>ROUND((E1099*F1099),2)</f>
        <v>1963.5</v>
      </c>
      <c r="H1099" s="2"/>
    </row>
    <row r="1100" spans="1:8" ht="30">
      <c r="A1100" s="36" t="s">
        <v>151</v>
      </c>
      <c r="B1100" s="66" t="s">
        <v>993</v>
      </c>
      <c r="C1100" s="37" t="s">
        <v>994</v>
      </c>
      <c r="D1100" s="38" t="s">
        <v>29</v>
      </c>
      <c r="E1100" s="38">
        <v>1</v>
      </c>
      <c r="F1100" s="39">
        <f>G1102</f>
        <v>1963.5</v>
      </c>
      <c r="G1100" s="40">
        <f>ROUND(E1100*F1100,2)</f>
        <v>1963.5</v>
      </c>
      <c r="H1100" s="2"/>
    </row>
    <row r="1101" spans="1:8" ht="15.75">
      <c r="A1101" s="41"/>
      <c r="B1101" s="67" t="s">
        <v>322</v>
      </c>
      <c r="C1101" s="42" t="s">
        <v>995</v>
      </c>
      <c r="D1101" s="43" t="s">
        <v>14</v>
      </c>
      <c r="E1101" s="43">
        <v>1</v>
      </c>
      <c r="F1101" s="44">
        <v>1963.5</v>
      </c>
      <c r="G1101" s="45">
        <f>ROUND(E1101*F1101,2)</f>
        <v>1963.5</v>
      </c>
      <c r="H1101" s="2"/>
    </row>
    <row r="1102" spans="1:8" ht="15.75">
      <c r="A1102" s="41"/>
      <c r="B1102" s="67"/>
      <c r="C1102" s="42"/>
      <c r="D1102" s="43"/>
      <c r="E1102" s="43" t="s">
        <v>7</v>
      </c>
      <c r="F1102" s="44"/>
      <c r="G1102" s="45">
        <f>ROUND(SUM(G1101:G1101),2)</f>
        <v>1963.5</v>
      </c>
      <c r="H1102" s="2"/>
    </row>
    <row r="1103" spans="1:7" ht="30">
      <c r="A1103" s="31" t="s">
        <v>146</v>
      </c>
      <c r="B1103" s="151" t="s">
        <v>1208</v>
      </c>
      <c r="C1103" s="32" t="s">
        <v>27</v>
      </c>
      <c r="D1103" s="33" t="s">
        <v>28</v>
      </c>
      <c r="E1103" s="33">
        <v>1</v>
      </c>
      <c r="F1103" s="34">
        <f>ROUND(F1104,2)</f>
        <v>55.95</v>
      </c>
      <c r="G1103" s="28">
        <f>ROUND((E1103*F1103),2)</f>
        <v>55.95</v>
      </c>
    </row>
    <row r="1104" spans="1:7" ht="15.75">
      <c r="A1104" s="36" t="s">
        <v>162</v>
      </c>
      <c r="B1104" s="66" t="s">
        <v>996</v>
      </c>
      <c r="C1104" s="37" t="s">
        <v>997</v>
      </c>
      <c r="D1104" s="38" t="s">
        <v>29</v>
      </c>
      <c r="E1104" s="38">
        <v>1</v>
      </c>
      <c r="F1104" s="39">
        <f>G1106</f>
        <v>55.95</v>
      </c>
      <c r="G1104" s="40">
        <f>ROUND(E1104*F1104,2)</f>
        <v>55.95</v>
      </c>
    </row>
    <row r="1105" spans="1:7" ht="15.75">
      <c r="A1105" s="41"/>
      <c r="B1105" s="67" t="s">
        <v>30</v>
      </c>
      <c r="C1105" s="42" t="s">
        <v>998</v>
      </c>
      <c r="D1105" s="43" t="s">
        <v>14</v>
      </c>
      <c r="E1105" s="43">
        <v>1</v>
      </c>
      <c r="F1105" s="44">
        <v>55.95</v>
      </c>
      <c r="G1105" s="45">
        <f>ROUND(E1105*F1105,2)</f>
        <v>55.95</v>
      </c>
    </row>
    <row r="1106" spans="1:7" ht="15.75">
      <c r="A1106" s="41"/>
      <c r="B1106" s="67"/>
      <c r="C1106" s="42"/>
      <c r="D1106" s="43"/>
      <c r="E1106" s="43" t="s">
        <v>7</v>
      </c>
      <c r="F1106" s="44"/>
      <c r="G1106" s="45">
        <f>ROUND(SUM(G1105:G1105),2)</f>
        <v>55.95</v>
      </c>
    </row>
    <row r="1107" spans="1:7" ht="45">
      <c r="A1107" s="31" t="s">
        <v>147</v>
      </c>
      <c r="B1107" s="151" t="s">
        <v>999</v>
      </c>
      <c r="C1107" s="32" t="s">
        <v>1302</v>
      </c>
      <c r="D1107" s="33" t="s">
        <v>29</v>
      </c>
      <c r="E1107" s="33">
        <v>1</v>
      </c>
      <c r="F1107" s="34">
        <f>ROUND(F1108,2)-0.01</f>
        <v>3005.14</v>
      </c>
      <c r="G1107" s="28">
        <f>ROUND((E1107*F1107),2)</f>
        <v>3005.14</v>
      </c>
    </row>
    <row r="1108" spans="1:7" ht="45">
      <c r="A1108" s="41" t="s">
        <v>162</v>
      </c>
      <c r="B1108" s="67" t="s">
        <v>999</v>
      </c>
      <c r="C1108" s="42" t="s">
        <v>1000</v>
      </c>
      <c r="D1108" s="43" t="s">
        <v>29</v>
      </c>
      <c r="E1108" s="43">
        <v>1</v>
      </c>
      <c r="F1108" s="44">
        <f>G1113</f>
        <v>3005.15</v>
      </c>
      <c r="G1108" s="45">
        <f>ROUND(E1108*F1108,2)</f>
        <v>3005.15</v>
      </c>
    </row>
    <row r="1109" spans="1:7" ht="30">
      <c r="A1109" s="41"/>
      <c r="B1109" s="67" t="s">
        <v>148</v>
      </c>
      <c r="C1109" s="42" t="s">
        <v>1001</v>
      </c>
      <c r="D1109" s="43" t="s">
        <v>14</v>
      </c>
      <c r="E1109" s="43">
        <v>1</v>
      </c>
      <c r="F1109" s="44">
        <v>2910.89</v>
      </c>
      <c r="G1109" s="45">
        <f>ROUND(E1109*F1109,2)</f>
        <v>2910.89</v>
      </c>
    </row>
    <row r="1110" spans="1:7" ht="30">
      <c r="A1110" s="41"/>
      <c r="B1110" s="67" t="s">
        <v>597</v>
      </c>
      <c r="C1110" s="42" t="s">
        <v>598</v>
      </c>
      <c r="D1110" s="43" t="s">
        <v>6</v>
      </c>
      <c r="E1110" s="43">
        <v>4.12</v>
      </c>
      <c r="F1110" s="44">
        <v>12.54</v>
      </c>
      <c r="G1110" s="45">
        <f>ROUND(E1110*F1110,2)</f>
        <v>51.66</v>
      </c>
    </row>
    <row r="1111" spans="1:7" ht="15.75">
      <c r="A1111" s="41"/>
      <c r="B1111" s="67" t="s">
        <v>692</v>
      </c>
      <c r="C1111" s="42" t="s">
        <v>693</v>
      </c>
      <c r="D1111" s="43" t="s">
        <v>6</v>
      </c>
      <c r="E1111" s="43">
        <v>2.06</v>
      </c>
      <c r="F1111" s="44">
        <v>17.3</v>
      </c>
      <c r="G1111" s="45">
        <f>ROUND(E1111*F1111,2)</f>
        <v>35.64</v>
      </c>
    </row>
    <row r="1112" spans="1:7" ht="15.75">
      <c r="A1112" s="41"/>
      <c r="B1112" s="67" t="s">
        <v>1002</v>
      </c>
      <c r="C1112" s="42" t="s">
        <v>1003</v>
      </c>
      <c r="D1112" s="43" t="s">
        <v>1</v>
      </c>
      <c r="E1112" s="43">
        <v>0.02</v>
      </c>
      <c r="F1112" s="44">
        <v>348.0804</v>
      </c>
      <c r="G1112" s="45">
        <f>ROUND(E1112*F1112,2)</f>
        <v>6.96</v>
      </c>
    </row>
    <row r="1113" spans="1:7" ht="15.75">
      <c r="A1113" s="41"/>
      <c r="B1113" s="67"/>
      <c r="C1113" s="42"/>
      <c r="D1113" s="43"/>
      <c r="E1113" s="43" t="s">
        <v>7</v>
      </c>
      <c r="F1113" s="44"/>
      <c r="G1113" s="45">
        <f>ROUND(SUM(G1109:G1112),2)</f>
        <v>3005.15</v>
      </c>
    </row>
    <row r="1114" spans="1:7" ht="30">
      <c r="A1114" s="31" t="s">
        <v>323</v>
      </c>
      <c r="B1114" s="151" t="s">
        <v>1293</v>
      </c>
      <c r="C1114" s="32" t="s">
        <v>1297</v>
      </c>
      <c r="D1114" s="33" t="s">
        <v>14</v>
      </c>
      <c r="E1114" s="33">
        <v>3</v>
      </c>
      <c r="F1114" s="34">
        <f>ROUND(F1115,2)</f>
        <v>921.24</v>
      </c>
      <c r="G1114" s="28">
        <f>ROUND((E1114*F1114),2)</f>
        <v>2763.72</v>
      </c>
    </row>
    <row r="1115" spans="1:7" ht="30">
      <c r="A1115" s="41"/>
      <c r="B1115" s="67" t="s">
        <v>1293</v>
      </c>
      <c r="C1115" s="42" t="s">
        <v>1294</v>
      </c>
      <c r="D1115" s="43" t="s">
        <v>14</v>
      </c>
      <c r="E1115" s="43">
        <v>1</v>
      </c>
      <c r="F1115" s="44">
        <f>G1117</f>
        <v>921.24</v>
      </c>
      <c r="G1115" s="45">
        <f>ROUND(E1115*F1115,2)</f>
        <v>921.24</v>
      </c>
    </row>
    <row r="1116" spans="1:7" ht="30">
      <c r="A1116" s="41"/>
      <c r="B1116" s="67" t="s">
        <v>1295</v>
      </c>
      <c r="C1116" s="42" t="s">
        <v>1296</v>
      </c>
      <c r="D1116" s="43" t="s">
        <v>14</v>
      </c>
      <c r="E1116" s="43">
        <v>1</v>
      </c>
      <c r="F1116" s="44">
        <v>921.24</v>
      </c>
      <c r="G1116" s="45">
        <f>ROUND(E1116*F1116,2)</f>
        <v>921.24</v>
      </c>
    </row>
    <row r="1117" spans="1:7" ht="15.75">
      <c r="A1117" s="41"/>
      <c r="B1117" s="67"/>
      <c r="C1117" s="42"/>
      <c r="D1117" s="43"/>
      <c r="E1117" s="43" t="s">
        <v>7</v>
      </c>
      <c r="F1117" s="44"/>
      <c r="G1117" s="45">
        <f>ROUND(SUM(G1116:G1116),2)</f>
        <v>921.24</v>
      </c>
    </row>
    <row r="1118" spans="1:7" ht="30">
      <c r="A1118" s="31" t="s">
        <v>1152</v>
      </c>
      <c r="B1118" s="151" t="s">
        <v>1161</v>
      </c>
      <c r="C1118" s="32" t="s">
        <v>1153</v>
      </c>
      <c r="D1118" s="33" t="s">
        <v>14</v>
      </c>
      <c r="E1118" s="33">
        <v>1</v>
      </c>
      <c r="F1118" s="34">
        <v>76.43</v>
      </c>
      <c r="G1118" s="28">
        <f>ROUND((E1118*F1118),2)</f>
        <v>76.43</v>
      </c>
    </row>
    <row r="1119" spans="1:7" ht="30">
      <c r="A1119" s="41"/>
      <c r="B1119" s="67" t="s">
        <v>1157</v>
      </c>
      <c r="C1119" s="42" t="s">
        <v>1153</v>
      </c>
      <c r="D1119" s="43" t="s">
        <v>14</v>
      </c>
      <c r="E1119" s="43">
        <v>1</v>
      </c>
      <c r="F1119" s="44">
        <f>G1123</f>
        <v>76.44</v>
      </c>
      <c r="G1119" s="45">
        <f>ROUND(E1119*F1119,2)</f>
        <v>76.44</v>
      </c>
    </row>
    <row r="1120" spans="1:7" ht="15.75">
      <c r="A1120" s="41"/>
      <c r="B1120" s="67" t="s">
        <v>1158</v>
      </c>
      <c r="C1120" s="42" t="s">
        <v>1154</v>
      </c>
      <c r="D1120" s="43" t="s">
        <v>14</v>
      </c>
      <c r="E1120" s="43">
        <v>1</v>
      </c>
      <c r="F1120" s="44">
        <v>67.11</v>
      </c>
      <c r="G1120" s="45">
        <f>ROUND(E1120*F1120,2)</f>
        <v>67.11</v>
      </c>
    </row>
    <row r="1121" spans="1:7" ht="15.75">
      <c r="A1121" s="41"/>
      <c r="B1121" s="67" t="s">
        <v>1159</v>
      </c>
      <c r="C1121" s="42" t="s">
        <v>1155</v>
      </c>
      <c r="D1121" s="43" t="s">
        <v>6</v>
      </c>
      <c r="E1121" s="43">
        <v>0.2169</v>
      </c>
      <c r="F1121" s="44">
        <f>ROUND(24.02,2)</f>
        <v>24.02</v>
      </c>
      <c r="G1121" s="45">
        <f>ROUND(E1121*F1121,2)</f>
        <v>5.21</v>
      </c>
    </row>
    <row r="1122" spans="1:7" ht="30">
      <c r="A1122" s="41"/>
      <c r="B1122" s="67" t="s">
        <v>1160</v>
      </c>
      <c r="C1122" s="42" t="s">
        <v>1156</v>
      </c>
      <c r="D1122" s="43" t="s">
        <v>6</v>
      </c>
      <c r="E1122" s="43">
        <v>0.2169</v>
      </c>
      <c r="F1122" s="44">
        <f>ROUND(19,2)</f>
        <v>19</v>
      </c>
      <c r="G1122" s="45">
        <f>ROUND(E1122*F1122,2)</f>
        <v>4.12</v>
      </c>
    </row>
    <row r="1123" spans="1:7" ht="15.75">
      <c r="A1123" s="41"/>
      <c r="B1123" s="67"/>
      <c r="C1123" s="42"/>
      <c r="D1123" s="43"/>
      <c r="E1123" s="43" t="s">
        <v>7</v>
      </c>
      <c r="F1123" s="44"/>
      <c r="G1123" s="45">
        <f>ROUND(SUM(G1120:G1122),2)</f>
        <v>76.44</v>
      </c>
    </row>
    <row r="1124" spans="1:7" ht="76.5">
      <c r="A1124" s="31" t="s">
        <v>1189</v>
      </c>
      <c r="B1124" s="194" t="s">
        <v>1191</v>
      </c>
      <c r="C1124" s="32" t="s">
        <v>1190</v>
      </c>
      <c r="D1124" s="33" t="s">
        <v>14</v>
      </c>
      <c r="E1124" s="33">
        <v>1</v>
      </c>
      <c r="F1124" s="34">
        <v>120.95</v>
      </c>
      <c r="G1124" s="28">
        <f>ROUND((E1124*F1124),2)</f>
        <v>120.95</v>
      </c>
    </row>
    <row r="1125" spans="1:7" ht="30">
      <c r="A1125" s="41"/>
      <c r="B1125" s="67" t="s">
        <v>1192</v>
      </c>
      <c r="C1125" s="42" t="s">
        <v>1193</v>
      </c>
      <c r="D1125" s="43" t="s">
        <v>14</v>
      </c>
      <c r="E1125" s="43">
        <v>1</v>
      </c>
      <c r="F1125" s="276">
        <f>G1129</f>
        <v>91.74</v>
      </c>
      <c r="G1125" s="45">
        <f>ROUND(E1125*F1125,2)</f>
        <v>91.74</v>
      </c>
    </row>
    <row r="1126" spans="1:7" ht="15.75">
      <c r="A1126" s="41"/>
      <c r="B1126" s="67" t="s">
        <v>144</v>
      </c>
      <c r="C1126" s="42" t="s">
        <v>556</v>
      </c>
      <c r="D1126" s="43" t="s">
        <v>5</v>
      </c>
      <c r="E1126" s="43">
        <v>8.716999999999999</v>
      </c>
      <c r="F1126" s="44">
        <v>5</v>
      </c>
      <c r="G1126" s="45">
        <f>ROUND(E1126*F1126,2)</f>
        <v>43.59</v>
      </c>
    </row>
    <row r="1127" spans="1:7" ht="30">
      <c r="A1127" s="41"/>
      <c r="B1127" s="67" t="s">
        <v>597</v>
      </c>
      <c r="C1127" s="42" t="s">
        <v>598</v>
      </c>
      <c r="D1127" s="43" t="s">
        <v>6</v>
      </c>
      <c r="E1127" s="43">
        <v>1.545</v>
      </c>
      <c r="F1127" s="44">
        <v>12.54</v>
      </c>
      <c r="G1127" s="45">
        <f>ROUND(E1127*F1127,2)</f>
        <v>19.37</v>
      </c>
    </row>
    <row r="1128" spans="1:7" ht="30">
      <c r="A1128" s="41"/>
      <c r="B1128" s="67" t="s">
        <v>673</v>
      </c>
      <c r="C1128" s="42" t="s">
        <v>674</v>
      </c>
      <c r="D1128" s="43" t="s">
        <v>6</v>
      </c>
      <c r="E1128" s="43">
        <v>1.545</v>
      </c>
      <c r="F1128" s="44">
        <v>18.63</v>
      </c>
      <c r="G1128" s="45">
        <f>ROUND(E1128*F1128,2)</f>
        <v>28.78</v>
      </c>
    </row>
    <row r="1129" spans="1:7" ht="15.75">
      <c r="A1129" s="41"/>
      <c r="B1129" s="67"/>
      <c r="C1129" s="42"/>
      <c r="D1129" s="43"/>
      <c r="E1129" s="43" t="s">
        <v>7</v>
      </c>
      <c r="F1129" s="44"/>
      <c r="G1129" s="45">
        <f>ROUND(SUM(G1126:G1128),2)</f>
        <v>91.74</v>
      </c>
    </row>
    <row r="1130" spans="1:7" ht="15.75">
      <c r="A1130" s="41"/>
      <c r="B1130" s="67" t="s">
        <v>1194</v>
      </c>
      <c r="C1130" s="42" t="s">
        <v>1188</v>
      </c>
      <c r="D1130" s="43" t="s">
        <v>14</v>
      </c>
      <c r="E1130" s="43">
        <v>1</v>
      </c>
      <c r="F1130" s="276">
        <f>G1132</f>
        <v>4.54</v>
      </c>
      <c r="G1130" s="45">
        <f>ROUND(E1130*F1130,2)</f>
        <v>4.54</v>
      </c>
    </row>
    <row r="1131" spans="1:7" ht="15.75">
      <c r="A1131" s="41"/>
      <c r="B1131" s="67" t="s">
        <v>376</v>
      </c>
      <c r="C1131" s="42" t="s">
        <v>648</v>
      </c>
      <c r="D1131" s="43" t="s">
        <v>14</v>
      </c>
      <c r="E1131" s="43">
        <v>1</v>
      </c>
      <c r="F1131" s="44">
        <v>4.54</v>
      </c>
      <c r="G1131" s="45">
        <f>ROUND(E1131*F1131,2)</f>
        <v>4.54</v>
      </c>
    </row>
    <row r="1132" spans="1:7" ht="15.75">
      <c r="A1132" s="41"/>
      <c r="B1132" s="67"/>
      <c r="C1132" s="42"/>
      <c r="D1132" s="43"/>
      <c r="E1132" s="43" t="s">
        <v>7</v>
      </c>
      <c r="F1132" s="44"/>
      <c r="G1132" s="45">
        <f>ROUND(SUM(G1131:G1131),2)</f>
        <v>4.54</v>
      </c>
    </row>
    <row r="1133" spans="1:7" ht="15.75">
      <c r="A1133" s="41"/>
      <c r="B1133" s="67" t="s">
        <v>1195</v>
      </c>
      <c r="C1133" s="42" t="s">
        <v>1196</v>
      </c>
      <c r="D1133" s="43" t="s">
        <v>14</v>
      </c>
      <c r="E1133" s="43">
        <v>1</v>
      </c>
      <c r="F1133" s="276">
        <f>G1135</f>
        <v>24.68</v>
      </c>
      <c r="G1133" s="45">
        <f>ROUND(E1133*F1133,2)</f>
        <v>24.68</v>
      </c>
    </row>
    <row r="1134" spans="1:7" ht="30">
      <c r="A1134" s="41"/>
      <c r="B1134" s="67" t="s">
        <v>374</v>
      </c>
      <c r="C1134" s="42" t="s">
        <v>650</v>
      </c>
      <c r="D1134" s="43" t="s">
        <v>14</v>
      </c>
      <c r="E1134" s="43">
        <v>1.65</v>
      </c>
      <c r="F1134" s="44">
        <v>14.96</v>
      </c>
      <c r="G1134" s="45">
        <f>ROUND(E1134*F1134,2)</f>
        <v>24.68</v>
      </c>
    </row>
    <row r="1135" spans="1:7" ht="15.75">
      <c r="A1135" s="41"/>
      <c r="B1135" s="67"/>
      <c r="C1135" s="42"/>
      <c r="D1135" s="43"/>
      <c r="E1135" s="43" t="s">
        <v>7</v>
      </c>
      <c r="F1135" s="44"/>
      <c r="G1135" s="45">
        <f>ROUND(SUM(G1134:G1134),2)</f>
        <v>24.68</v>
      </c>
    </row>
    <row r="1136" spans="1:7" s="172" customFormat="1" ht="15.75">
      <c r="A1136" s="170" t="s">
        <v>162</v>
      </c>
      <c r="B1136" s="170"/>
      <c r="C1136" s="171"/>
      <c r="D1136" s="170"/>
      <c r="E1136" s="170"/>
      <c r="F1136" s="170" t="s">
        <v>325</v>
      </c>
      <c r="G1136" s="169">
        <f>G1099+G1103+G1107+G1114+G1118+G1124</f>
        <v>7985.69</v>
      </c>
    </row>
    <row r="1137" spans="1:8" ht="15.75">
      <c r="A1137" s="150" t="s">
        <v>71</v>
      </c>
      <c r="B1137" s="122"/>
      <c r="C1137" s="123" t="s">
        <v>1242</v>
      </c>
      <c r="D1137" s="122"/>
      <c r="E1137" s="122"/>
      <c r="F1137" s="122"/>
      <c r="G1137" s="122"/>
      <c r="H1137" s="2"/>
    </row>
    <row r="1138" spans="1:8" ht="45">
      <c r="A1138" s="49" t="s">
        <v>326</v>
      </c>
      <c r="B1138" s="65" t="s">
        <v>1040</v>
      </c>
      <c r="C1138" s="50" t="s">
        <v>484</v>
      </c>
      <c r="D1138" s="51" t="s">
        <v>3</v>
      </c>
      <c r="E1138" s="51">
        <v>26.6</v>
      </c>
      <c r="F1138" s="52">
        <v>35.7</v>
      </c>
      <c r="G1138" s="53">
        <f>ROUND((E1138*F1138),2)</f>
        <v>949.62</v>
      </c>
      <c r="H1138" s="2"/>
    </row>
    <row r="1139" spans="1:8" ht="45">
      <c r="A1139" s="36" t="s">
        <v>162</v>
      </c>
      <c r="B1139" s="66" t="s">
        <v>1461</v>
      </c>
      <c r="C1139" s="37" t="s">
        <v>1462</v>
      </c>
      <c r="D1139" s="38" t="s">
        <v>3</v>
      </c>
      <c r="E1139" s="38">
        <v>1</v>
      </c>
      <c r="F1139" s="39">
        <f>G1145</f>
        <v>35.72</v>
      </c>
      <c r="G1139" s="40">
        <f>ROUND(E1139*F1139,2)</f>
        <v>35.72</v>
      </c>
      <c r="H1139" s="2"/>
    </row>
    <row r="1140" spans="1:8" ht="15.75">
      <c r="A1140" s="41"/>
      <c r="B1140" s="67" t="s">
        <v>1463</v>
      </c>
      <c r="C1140" s="42" t="s">
        <v>1464</v>
      </c>
      <c r="D1140" s="43" t="s">
        <v>3</v>
      </c>
      <c r="E1140" s="43">
        <v>1.005</v>
      </c>
      <c r="F1140" s="44">
        <f>ROUND(17.29,2)</f>
        <v>17.29</v>
      </c>
      <c r="G1140" s="45">
        <f>ROUND(E1140*F1140,2)</f>
        <v>17.38</v>
      </c>
      <c r="H1140" s="2"/>
    </row>
    <row r="1141" spans="1:8" ht="15.75">
      <c r="A1141" s="41"/>
      <c r="B1141" s="67" t="s">
        <v>287</v>
      </c>
      <c r="C1141" s="42" t="s">
        <v>1411</v>
      </c>
      <c r="D1141" s="43" t="s">
        <v>1</v>
      </c>
      <c r="E1141" s="43">
        <v>0.007</v>
      </c>
      <c r="F1141" s="44">
        <f>ROUND(51.43,2)</f>
        <v>51.43</v>
      </c>
      <c r="G1141" s="45">
        <f>ROUND(E1141*F1141,2)</f>
        <v>0.36</v>
      </c>
      <c r="H1141" s="2"/>
    </row>
    <row r="1142" spans="1:8" ht="15.75">
      <c r="A1142" s="41"/>
      <c r="B1142" s="67" t="s">
        <v>119</v>
      </c>
      <c r="C1142" s="42" t="s">
        <v>120</v>
      </c>
      <c r="D1142" s="43" t="s">
        <v>6</v>
      </c>
      <c r="E1142" s="43">
        <v>0.394</v>
      </c>
      <c r="F1142" s="44">
        <f>ROUND(19.32,2)</f>
        <v>19.32</v>
      </c>
      <c r="G1142" s="45">
        <f>ROUND(E1142*F1142,2)</f>
        <v>7.61</v>
      </c>
      <c r="H1142" s="2"/>
    </row>
    <row r="1143" spans="1:8" ht="15.75">
      <c r="A1143" s="41"/>
      <c r="B1143" s="67" t="s">
        <v>121</v>
      </c>
      <c r="C1143" s="42" t="s">
        <v>1102</v>
      </c>
      <c r="D1143" s="43" t="s">
        <v>6</v>
      </c>
      <c r="E1143" s="43">
        <v>0.394</v>
      </c>
      <c r="F1143" s="44">
        <f>ROUND(24.27,2)</f>
        <v>24.27</v>
      </c>
      <c r="G1143" s="45">
        <f>ROUND(E1143*F1143,2)</f>
        <v>9.56</v>
      </c>
      <c r="H1143" s="2"/>
    </row>
    <row r="1144" spans="1:8" ht="30">
      <c r="A1144" s="41"/>
      <c r="B1144" s="67" t="s">
        <v>1465</v>
      </c>
      <c r="C1144" s="42" t="s">
        <v>1466</v>
      </c>
      <c r="D1144" s="43" t="s">
        <v>1</v>
      </c>
      <c r="E1144" s="43">
        <v>0.002</v>
      </c>
      <c r="F1144" s="44">
        <f>ROUND(403.98,2)</f>
        <v>403.98</v>
      </c>
      <c r="G1144" s="45">
        <f>ROUND(E1144*F1144,2)</f>
        <v>0.81</v>
      </c>
      <c r="H1144" s="2"/>
    </row>
    <row r="1145" spans="1:8" ht="15.75">
      <c r="A1145" s="41"/>
      <c r="B1145" s="67"/>
      <c r="C1145" s="42"/>
      <c r="D1145" s="43"/>
      <c r="E1145" s="43" t="s">
        <v>7</v>
      </c>
      <c r="F1145" s="44"/>
      <c r="G1145" s="45">
        <f>ROUND(SUM(G1140:G1144),2)</f>
        <v>35.72</v>
      </c>
      <c r="H1145" s="2"/>
    </row>
    <row r="1146" spans="1:7" ht="30">
      <c r="A1146" s="49" t="s">
        <v>327</v>
      </c>
      <c r="B1146" s="215" t="s">
        <v>1245</v>
      </c>
      <c r="C1146" s="50" t="s">
        <v>1244</v>
      </c>
      <c r="D1146" s="51" t="s">
        <v>0</v>
      </c>
      <c r="E1146" s="51">
        <v>1.14</v>
      </c>
      <c r="F1146" s="52">
        <v>200.85</v>
      </c>
      <c r="G1146" s="53">
        <f>ROUND((E1146*F1146),2)</f>
        <v>228.97</v>
      </c>
    </row>
    <row r="1147" spans="1:8" s="441" customFormat="1" ht="30">
      <c r="A1147" s="36"/>
      <c r="B1147" s="442" t="s">
        <v>1243</v>
      </c>
      <c r="C1147" s="443" t="s">
        <v>1244</v>
      </c>
      <c r="D1147" s="443" t="s">
        <v>0</v>
      </c>
      <c r="E1147" s="451">
        <f>10/6</f>
        <v>1.6666666666666667</v>
      </c>
      <c r="F1147" s="444">
        <f>G1155</f>
        <v>120.56</v>
      </c>
      <c r="G1147" s="452">
        <f>ROUND(E1147*F1147,2)</f>
        <v>200.93</v>
      </c>
      <c r="H1147" s="441">
        <f>0.5*G1147</f>
        <v>100.465</v>
      </c>
    </row>
    <row r="1148" spans="1:7" s="441" customFormat="1" ht="30">
      <c r="A1148" s="41"/>
      <c r="B1148" s="438" t="s">
        <v>597</v>
      </c>
      <c r="C1148" s="439" t="s">
        <v>598</v>
      </c>
      <c r="D1148" s="439" t="s">
        <v>6</v>
      </c>
      <c r="E1148" s="247">
        <v>1.03</v>
      </c>
      <c r="F1148" s="440">
        <v>12.54</v>
      </c>
      <c r="G1148" s="445">
        <f>ROUND(E1148*F1148,2)</f>
        <v>12.92</v>
      </c>
    </row>
    <row r="1149" spans="1:7" s="441" customFormat="1" ht="24" customHeight="1">
      <c r="A1149" s="41"/>
      <c r="B1149" s="438" t="s">
        <v>867</v>
      </c>
      <c r="C1149" s="439" t="s">
        <v>868</v>
      </c>
      <c r="D1149" s="439" t="s">
        <v>5</v>
      </c>
      <c r="E1149" s="247">
        <v>3.6</v>
      </c>
      <c r="F1149" s="440">
        <v>3.2271</v>
      </c>
      <c r="G1149" s="445">
        <f>ROUND(E1149*F1149,2)</f>
        <v>11.62</v>
      </c>
    </row>
    <row r="1150" spans="1:7" s="441" customFormat="1" ht="24" customHeight="1">
      <c r="A1150" s="41"/>
      <c r="B1150" s="438" t="s">
        <v>869</v>
      </c>
      <c r="C1150" s="439" t="s">
        <v>870</v>
      </c>
      <c r="D1150" s="439" t="s">
        <v>5</v>
      </c>
      <c r="E1150" s="247">
        <v>3.6</v>
      </c>
      <c r="F1150" s="440">
        <v>3.7309</v>
      </c>
      <c r="G1150" s="445">
        <f>ROUND(E1150*F1150,2)</f>
        <v>13.43</v>
      </c>
    </row>
    <row r="1151" spans="1:7" s="441" customFormat="1" ht="24" customHeight="1">
      <c r="A1151" s="41"/>
      <c r="B1151" s="438" t="s">
        <v>843</v>
      </c>
      <c r="C1151" s="439" t="s">
        <v>844</v>
      </c>
      <c r="D1151" s="439" t="s">
        <v>0</v>
      </c>
      <c r="E1151" s="247">
        <v>1.24</v>
      </c>
      <c r="F1151" s="440">
        <v>50.2704</v>
      </c>
      <c r="G1151" s="445">
        <f>ROUND(E1151*F1151,2)</f>
        <v>62.34</v>
      </c>
    </row>
    <row r="1152" spans="1:7" s="441" customFormat="1" ht="24" customHeight="1">
      <c r="A1152" s="41"/>
      <c r="B1152" s="438" t="s">
        <v>871</v>
      </c>
      <c r="C1152" s="439" t="s">
        <v>872</v>
      </c>
      <c r="D1152" s="439" t="s">
        <v>1</v>
      </c>
      <c r="E1152" s="247">
        <v>0.06</v>
      </c>
      <c r="F1152" s="440">
        <v>65.6313</v>
      </c>
      <c r="G1152" s="445">
        <f>ROUND(E1152*F1152,2)</f>
        <v>3.94</v>
      </c>
    </row>
    <row r="1153" spans="1:7" s="441" customFormat="1" ht="24" customHeight="1">
      <c r="A1153" s="41"/>
      <c r="B1153" s="438" t="s">
        <v>681</v>
      </c>
      <c r="C1153" s="439" t="s">
        <v>682</v>
      </c>
      <c r="D1153" s="439" t="s">
        <v>1</v>
      </c>
      <c r="E1153" s="247">
        <v>0.06</v>
      </c>
      <c r="F1153" s="440">
        <v>62.4331</v>
      </c>
      <c r="G1153" s="445">
        <f>ROUND(E1153*F1153,2)</f>
        <v>3.75</v>
      </c>
    </row>
    <row r="1154" spans="1:7" s="441" customFormat="1" ht="24" customHeight="1">
      <c r="A1154" s="41"/>
      <c r="B1154" s="438" t="s">
        <v>679</v>
      </c>
      <c r="C1154" s="439" t="s">
        <v>680</v>
      </c>
      <c r="D1154" s="439" t="s">
        <v>1</v>
      </c>
      <c r="E1154" s="247">
        <v>0.06</v>
      </c>
      <c r="F1154" s="440">
        <v>209.3668</v>
      </c>
      <c r="G1154" s="445">
        <f>ROUND(E1154*F1154,2)</f>
        <v>12.56</v>
      </c>
    </row>
    <row r="1155" spans="1:7" s="441" customFormat="1" ht="24" customHeight="1">
      <c r="A1155" s="41"/>
      <c r="B1155" s="438"/>
      <c r="C1155" s="439"/>
      <c r="D1155" s="439"/>
      <c r="E1155" s="247" t="s">
        <v>7</v>
      </c>
      <c r="F1155" s="440"/>
      <c r="G1155" s="445">
        <f>ROUND(SUM(G1148:G1154),2)</f>
        <v>120.56</v>
      </c>
    </row>
    <row r="1156" spans="1:7" s="441" customFormat="1" ht="31.5">
      <c r="A1156" s="46"/>
      <c r="B1156" s="446"/>
      <c r="C1156" s="218" t="s">
        <v>1246</v>
      </c>
      <c r="D1156" s="447"/>
      <c r="E1156" s="448"/>
      <c r="F1156" s="449"/>
      <c r="G1156" s="450"/>
    </row>
    <row r="1157" spans="1:7" s="176" customFormat="1" ht="61.5">
      <c r="A1157" s="210" t="s">
        <v>328</v>
      </c>
      <c r="B1157" s="211" t="s">
        <v>1004</v>
      </c>
      <c r="C1157" s="212" t="s">
        <v>559</v>
      </c>
      <c r="D1157" s="281" t="s">
        <v>557</v>
      </c>
      <c r="E1157" s="281">
        <v>80.32</v>
      </c>
      <c r="F1157" s="213">
        <v>6.45</v>
      </c>
      <c r="G1157" s="154">
        <f>ROUND((E1157*F1157),2)</f>
        <v>518.06</v>
      </c>
    </row>
    <row r="1158" spans="1:7" ht="45">
      <c r="A1158" s="41" t="s">
        <v>162</v>
      </c>
      <c r="B1158" s="67" t="s">
        <v>1004</v>
      </c>
      <c r="C1158" s="42" t="s">
        <v>1005</v>
      </c>
      <c r="D1158" s="43" t="s">
        <v>0</v>
      </c>
      <c r="E1158" s="43">
        <v>1</v>
      </c>
      <c r="F1158" s="44">
        <f>ROUND(6.4581,2)</f>
        <v>6.46</v>
      </c>
      <c r="G1158" s="45">
        <f>ROUND(E1158*F1158,2)</f>
        <v>6.46</v>
      </c>
    </row>
    <row r="1159" spans="1:7" ht="30">
      <c r="A1159" s="41"/>
      <c r="B1159" s="67" t="s">
        <v>597</v>
      </c>
      <c r="C1159" s="42" t="s">
        <v>598</v>
      </c>
      <c r="D1159" s="43" t="s">
        <v>6</v>
      </c>
      <c r="E1159" s="43">
        <v>0.515</v>
      </c>
      <c r="F1159" s="44">
        <v>12.54</v>
      </c>
      <c r="G1159" s="45">
        <f>ROUND(E1159*F1159,2)</f>
        <v>6.46</v>
      </c>
    </row>
    <row r="1160" spans="1:7" ht="15.75">
      <c r="A1160" s="41"/>
      <c r="B1160" s="67"/>
      <c r="C1160" s="42"/>
      <c r="D1160" s="43"/>
      <c r="E1160" s="43" t="s">
        <v>7</v>
      </c>
      <c r="F1160" s="44"/>
      <c r="G1160" s="45">
        <f>ROUND(SUM(G1159:G1159),2)</f>
        <v>6.46</v>
      </c>
    </row>
    <row r="1161" spans="1:7" ht="30.75">
      <c r="A1161" s="210" t="s">
        <v>329</v>
      </c>
      <c r="B1161" s="211" t="s">
        <v>1042</v>
      </c>
      <c r="C1161" s="212" t="s">
        <v>1216</v>
      </c>
      <c r="D1161" s="281" t="s">
        <v>432</v>
      </c>
      <c r="E1161" s="281">
        <v>6.18</v>
      </c>
      <c r="F1161" s="213">
        <v>559.32</v>
      </c>
      <c r="G1161" s="154">
        <f>ROUND((E1161*F1161),2)</f>
        <v>3456.6</v>
      </c>
    </row>
    <row r="1162" spans="1:7" ht="30">
      <c r="A1162" s="41" t="s">
        <v>162</v>
      </c>
      <c r="B1162" s="67" t="s">
        <v>1469</v>
      </c>
      <c r="C1162" s="42" t="s">
        <v>1470</v>
      </c>
      <c r="D1162" s="43" t="s">
        <v>1</v>
      </c>
      <c r="E1162" s="43">
        <v>1</v>
      </c>
      <c r="F1162" s="44">
        <f>G1169</f>
        <v>559.36</v>
      </c>
      <c r="G1162" s="45">
        <f>ROUND(E1162*F1162,2)</f>
        <v>559.36</v>
      </c>
    </row>
    <row r="1163" spans="1:7" ht="30">
      <c r="A1163" s="41"/>
      <c r="B1163" s="67" t="s">
        <v>1136</v>
      </c>
      <c r="C1163" s="42" t="s">
        <v>1328</v>
      </c>
      <c r="D1163" s="43" t="s">
        <v>3</v>
      </c>
      <c r="E1163" s="43">
        <v>2</v>
      </c>
      <c r="F1163" s="44">
        <f>ROUND(1.45,2)</f>
        <v>1.45</v>
      </c>
      <c r="G1163" s="45">
        <f>ROUND(E1163*F1163,2)</f>
        <v>2.9</v>
      </c>
    </row>
    <row r="1164" spans="1:7" ht="30">
      <c r="A1164" s="41"/>
      <c r="B1164" s="67" t="s">
        <v>1467</v>
      </c>
      <c r="C1164" s="42" t="s">
        <v>1468</v>
      </c>
      <c r="D1164" s="43" t="s">
        <v>3</v>
      </c>
      <c r="E1164" s="43">
        <v>2.5</v>
      </c>
      <c r="F1164" s="44">
        <f>ROUND(7.32,2)</f>
        <v>7.32</v>
      </c>
      <c r="G1164" s="45">
        <f>ROUND(E1164*F1164,2)</f>
        <v>18.3</v>
      </c>
    </row>
    <row r="1165" spans="1:7" ht="15.75">
      <c r="A1165" s="41"/>
      <c r="B1165" s="67" t="s">
        <v>119</v>
      </c>
      <c r="C1165" s="42" t="s">
        <v>120</v>
      </c>
      <c r="D1165" s="43" t="s">
        <v>6</v>
      </c>
      <c r="E1165" s="43">
        <v>4.239</v>
      </c>
      <c r="F1165" s="44">
        <f>ROUND(19.32,2)</f>
        <v>19.32</v>
      </c>
      <c r="G1165" s="45">
        <f>ROUND(E1165*F1165,2)</f>
        <v>81.9</v>
      </c>
    </row>
    <row r="1166" spans="1:7" ht="15.75">
      <c r="A1166" s="41"/>
      <c r="B1166" s="67" t="s">
        <v>121</v>
      </c>
      <c r="C1166" s="42" t="s">
        <v>1102</v>
      </c>
      <c r="D1166" s="43" t="s">
        <v>6</v>
      </c>
      <c r="E1166" s="43">
        <v>1.983</v>
      </c>
      <c r="F1166" s="44">
        <f>ROUND(24.27,2)</f>
        <v>24.27</v>
      </c>
      <c r="G1166" s="45">
        <f>ROUND(E1166*F1166,2)</f>
        <v>48.13</v>
      </c>
    </row>
    <row r="1167" spans="1:7" ht="15.75">
      <c r="A1167" s="41"/>
      <c r="B1167" s="67" t="s">
        <v>1058</v>
      </c>
      <c r="C1167" s="42" t="s">
        <v>1059</v>
      </c>
      <c r="D1167" s="43" t="s">
        <v>6</v>
      </c>
      <c r="E1167" s="43">
        <v>2.256</v>
      </c>
      <c r="F1167" s="44">
        <f>ROUND(23.93,2)</f>
        <v>23.93</v>
      </c>
      <c r="G1167" s="45">
        <f>ROUND(E1167*F1167,2)</f>
        <v>53.99</v>
      </c>
    </row>
    <row r="1168" spans="1:7" ht="30">
      <c r="A1168" s="41"/>
      <c r="B1168" s="67" t="s">
        <v>1413</v>
      </c>
      <c r="C1168" s="42" t="s">
        <v>1471</v>
      </c>
      <c r="D1168" s="43" t="s">
        <v>1</v>
      </c>
      <c r="E1168" s="43">
        <v>1.213</v>
      </c>
      <c r="F1168" s="44">
        <f>ROUND(291.95,2)</f>
        <v>291.95</v>
      </c>
      <c r="G1168" s="45">
        <f>ROUND(E1168*F1168,2)</f>
        <v>354.14</v>
      </c>
    </row>
    <row r="1169" spans="1:7" ht="15.75">
      <c r="A1169" s="41"/>
      <c r="B1169" s="67"/>
      <c r="C1169" s="42"/>
      <c r="D1169" s="43"/>
      <c r="E1169" s="43" t="s">
        <v>7</v>
      </c>
      <c r="F1169" s="44"/>
      <c r="G1169" s="45">
        <f>ROUND(SUM(G1163:G1168),2)</f>
        <v>559.36</v>
      </c>
    </row>
    <row r="1170" spans="1:7" ht="30">
      <c r="A1170" s="31" t="s">
        <v>431</v>
      </c>
      <c r="B1170" s="151" t="s">
        <v>1043</v>
      </c>
      <c r="C1170" s="32" t="s">
        <v>485</v>
      </c>
      <c r="D1170" s="33" t="s">
        <v>557</v>
      </c>
      <c r="E1170" s="33">
        <v>56.59</v>
      </c>
      <c r="F1170" s="34">
        <v>58.18</v>
      </c>
      <c r="G1170" s="28">
        <f>ROUND((E1170*F1170),2)</f>
        <v>3292.41</v>
      </c>
    </row>
    <row r="1171" spans="1:7" ht="15.75">
      <c r="A1171" s="41"/>
      <c r="B1171" s="67" t="s">
        <v>1043</v>
      </c>
      <c r="C1171" s="42" t="s">
        <v>486</v>
      </c>
      <c r="D1171" s="43" t="s">
        <v>5</v>
      </c>
      <c r="E1171" s="43">
        <v>3.11</v>
      </c>
      <c r="F1171" s="44">
        <f>G1176</f>
        <v>18.71</v>
      </c>
      <c r="G1171" s="45">
        <f>ROUND(E1171*F1171,2)</f>
        <v>58.19</v>
      </c>
    </row>
    <row r="1172" spans="1:7" ht="31.5">
      <c r="A1172" s="272"/>
      <c r="B1172" s="273" t="s">
        <v>1380</v>
      </c>
      <c r="C1172" s="274" t="s">
        <v>1381</v>
      </c>
      <c r="D1172" s="275" t="s">
        <v>0</v>
      </c>
      <c r="E1172" s="275">
        <v>1.03</v>
      </c>
      <c r="F1172" s="276">
        <v>16.83</v>
      </c>
      <c r="G1172" s="277">
        <f>ROUND(E1172*F1172,2)</f>
        <v>17.33</v>
      </c>
    </row>
    <row r="1173" spans="1:7" ht="15.75">
      <c r="A1173" s="41"/>
      <c r="B1173" s="67" t="s">
        <v>1114</v>
      </c>
      <c r="C1173" s="42" t="s">
        <v>1115</v>
      </c>
      <c r="D1173" s="43" t="s">
        <v>5</v>
      </c>
      <c r="E1173" s="43">
        <v>0.0103</v>
      </c>
      <c r="F1173" s="44">
        <v>12.9</v>
      </c>
      <c r="G1173" s="45">
        <f>ROUND(E1173*F1173,2)</f>
        <v>0.13</v>
      </c>
    </row>
    <row r="1174" spans="1:7" ht="15.75">
      <c r="A1174" s="41"/>
      <c r="B1174" s="67" t="s">
        <v>119</v>
      </c>
      <c r="C1174" s="42" t="s">
        <v>120</v>
      </c>
      <c r="D1174" s="43" t="s">
        <v>6</v>
      </c>
      <c r="E1174" s="43">
        <v>0.04</v>
      </c>
      <c r="F1174" s="44">
        <f>ROUND(19.32,2)</f>
        <v>19.32</v>
      </c>
      <c r="G1174" s="45">
        <f>ROUND(E1174*F1174,2)</f>
        <v>0.77</v>
      </c>
    </row>
    <row r="1175" spans="1:7" ht="15.75">
      <c r="A1175" s="41"/>
      <c r="B1175" s="67" t="s">
        <v>1116</v>
      </c>
      <c r="C1175" s="42" t="s">
        <v>1117</v>
      </c>
      <c r="D1175" s="43" t="s">
        <v>6</v>
      </c>
      <c r="E1175" s="43">
        <v>0.02</v>
      </c>
      <c r="F1175" s="44">
        <f>ROUND(24.13,2)</f>
        <v>24.13</v>
      </c>
      <c r="G1175" s="45">
        <f>ROUND(E1175*F1175,2)</f>
        <v>0.48</v>
      </c>
    </row>
    <row r="1176" spans="1:7" ht="15.75">
      <c r="A1176" s="41"/>
      <c r="B1176" s="67"/>
      <c r="C1176" s="42"/>
      <c r="D1176" s="43"/>
      <c r="E1176" s="43" t="s">
        <v>7</v>
      </c>
      <c r="F1176" s="44"/>
      <c r="G1176" s="45">
        <f>ROUND(SUM(G1172:G1175),2)</f>
        <v>18.71</v>
      </c>
    </row>
    <row r="1177" spans="1:7" s="265" customFormat="1" ht="21">
      <c r="A1177" s="510"/>
      <c r="B1177" s="511"/>
      <c r="C1177" s="512" t="s">
        <v>590</v>
      </c>
      <c r="D1177" s="513">
        <f>56.59*3.11</f>
        <v>175.9949</v>
      </c>
      <c r="E1177" s="513"/>
      <c r="F1177" s="514"/>
      <c r="G1177" s="515"/>
    </row>
    <row r="1178" spans="1:7" s="278" customFormat="1" ht="45">
      <c r="A1178" s="31" t="s">
        <v>433</v>
      </c>
      <c r="B1178" s="151" t="s">
        <v>1044</v>
      </c>
      <c r="C1178" s="32" t="s">
        <v>560</v>
      </c>
      <c r="D1178" s="33" t="s">
        <v>0</v>
      </c>
      <c r="E1178" s="33">
        <v>3.77</v>
      </c>
      <c r="F1178" s="34">
        <f>ROUND(F1179,2)</f>
        <v>45.11</v>
      </c>
      <c r="G1178" s="28">
        <f>ROUND((E1178*F1178),2)</f>
        <v>170.06</v>
      </c>
    </row>
    <row r="1179" spans="1:7" ht="15.75">
      <c r="A1179" s="41" t="s">
        <v>162</v>
      </c>
      <c r="B1179" s="67" t="s">
        <v>1472</v>
      </c>
      <c r="C1179" s="42" t="s">
        <v>1473</v>
      </c>
      <c r="D1179" s="43" t="s">
        <v>0</v>
      </c>
      <c r="E1179" s="43">
        <v>1</v>
      </c>
      <c r="F1179" s="44">
        <f>G1184</f>
        <v>45.11</v>
      </c>
      <c r="G1179" s="45">
        <f>ROUND(E1179*F1179,2)</f>
        <v>45.11</v>
      </c>
    </row>
    <row r="1180" spans="1:7" ht="30">
      <c r="A1180" s="41"/>
      <c r="B1180" s="67" t="s">
        <v>1133</v>
      </c>
      <c r="C1180" s="42" t="s">
        <v>1327</v>
      </c>
      <c r="D1180" s="43" t="s">
        <v>3</v>
      </c>
      <c r="E1180" s="43">
        <v>3.667</v>
      </c>
      <c r="F1180" s="44">
        <f>ROUND(12.18,2)</f>
        <v>12.18</v>
      </c>
      <c r="G1180" s="45">
        <f>ROUND(E1180*F1180,2)</f>
        <v>44.66</v>
      </c>
    </row>
    <row r="1181" spans="1:7" ht="15.75">
      <c r="A1181" s="41"/>
      <c r="B1181" s="67" t="s">
        <v>1058</v>
      </c>
      <c r="C1181" s="42" t="s">
        <v>1059</v>
      </c>
      <c r="D1181" s="43" t="s">
        <v>6</v>
      </c>
      <c r="E1181" s="43">
        <v>0.013</v>
      </c>
      <c r="F1181" s="44">
        <f>ROUND(23.93,2)</f>
        <v>23.93</v>
      </c>
      <c r="G1181" s="45">
        <f>ROUND(E1181*F1181,2)</f>
        <v>0.31</v>
      </c>
    </row>
    <row r="1182" spans="1:7" ht="15.75">
      <c r="A1182" s="41"/>
      <c r="B1182" s="67" t="s">
        <v>1139</v>
      </c>
      <c r="C1182" s="42" t="s">
        <v>1140</v>
      </c>
      <c r="D1182" s="43" t="s">
        <v>6</v>
      </c>
      <c r="E1182" s="43">
        <v>0.003</v>
      </c>
      <c r="F1182" s="44">
        <f>ROUND(20.33,2)</f>
        <v>20.33</v>
      </c>
      <c r="G1182" s="45">
        <f>ROUND(E1182*F1182,2)</f>
        <v>0.06</v>
      </c>
    </row>
    <row r="1183" spans="1:7" ht="30">
      <c r="A1183" s="41"/>
      <c r="B1183" s="67" t="s">
        <v>1143</v>
      </c>
      <c r="C1183" s="42" t="s">
        <v>1144</v>
      </c>
      <c r="D1183" s="43" t="s">
        <v>143</v>
      </c>
      <c r="E1183" s="43">
        <v>0.003</v>
      </c>
      <c r="F1183" s="44">
        <f>ROUND(27.77,2)</f>
        <v>27.77</v>
      </c>
      <c r="G1183" s="45">
        <f>ROUND(E1183*F1183,2)</f>
        <v>0.08</v>
      </c>
    </row>
    <row r="1184" spans="1:7" ht="15.75">
      <c r="A1184" s="41"/>
      <c r="B1184" s="67"/>
      <c r="C1184" s="42"/>
      <c r="D1184" s="43"/>
      <c r="E1184" s="43" t="s">
        <v>7</v>
      </c>
      <c r="F1184" s="44"/>
      <c r="G1184" s="45">
        <f>ROUND(SUM(G1180:G1183),2)</f>
        <v>45.11</v>
      </c>
    </row>
    <row r="1185" spans="1:7" ht="60.75">
      <c r="A1185" s="54" t="s">
        <v>558</v>
      </c>
      <c r="B1185" s="54" t="s">
        <v>1203</v>
      </c>
      <c r="C1185" s="56" t="s">
        <v>1215</v>
      </c>
      <c r="D1185" s="54" t="s">
        <v>0</v>
      </c>
      <c r="E1185" s="54">
        <v>5.85</v>
      </c>
      <c r="F1185" s="119">
        <v>127.47</v>
      </c>
      <c r="G1185" s="35">
        <f>ROUND((E1185*F1185),2)</f>
        <v>745.7</v>
      </c>
    </row>
    <row r="1186" spans="1:7" ht="45">
      <c r="A1186" s="57"/>
      <c r="B1186" s="58" t="s">
        <v>1209</v>
      </c>
      <c r="C1186" s="59" t="s">
        <v>462</v>
      </c>
      <c r="D1186" s="58" t="s">
        <v>0</v>
      </c>
      <c r="E1186" s="58">
        <v>1</v>
      </c>
      <c r="F1186" s="114">
        <f>G1194</f>
        <v>127.51</v>
      </c>
      <c r="G1186" s="60">
        <f>ROUND(E1186*F1186,2)</f>
        <v>127.51</v>
      </c>
    </row>
    <row r="1187" spans="1:7" s="156" customFormat="1" ht="31.5">
      <c r="A1187" s="160"/>
      <c r="B1187" s="161" t="s">
        <v>417</v>
      </c>
      <c r="C1187" s="162" t="s">
        <v>463</v>
      </c>
      <c r="D1187" s="161" t="s">
        <v>0</v>
      </c>
      <c r="E1187" s="161">
        <v>1.05</v>
      </c>
      <c r="F1187" s="163">
        <f>'COTAÇÕES DE MERCADO'!F11:G11</f>
        <v>72.89473684210526</v>
      </c>
      <c r="G1187" s="115">
        <f>ROUND(E1187*F1187,2)</f>
        <v>76.54</v>
      </c>
    </row>
    <row r="1188" spans="1:7" ht="15.75">
      <c r="A1188" s="106"/>
      <c r="B1188" s="104" t="s">
        <v>124</v>
      </c>
      <c r="C1188" s="105" t="s">
        <v>887</v>
      </c>
      <c r="D1188" s="104" t="s">
        <v>5</v>
      </c>
      <c r="E1188" s="104">
        <v>0.1</v>
      </c>
      <c r="F1188" s="155">
        <v>34</v>
      </c>
      <c r="G1188" s="107">
        <f>ROUND(E1188*F1188,2)</f>
        <v>3.4</v>
      </c>
    </row>
    <row r="1189" spans="1:7" ht="15.75">
      <c r="A1189" s="106"/>
      <c r="B1189" s="104" t="s">
        <v>125</v>
      </c>
      <c r="C1189" s="105" t="s">
        <v>888</v>
      </c>
      <c r="D1189" s="104" t="s">
        <v>5</v>
      </c>
      <c r="E1189" s="104">
        <v>0.1</v>
      </c>
      <c r="F1189" s="155">
        <v>1.84</v>
      </c>
      <c r="G1189" s="107">
        <f>ROUND(E1189*F1189,2)</f>
        <v>0.18</v>
      </c>
    </row>
    <row r="1190" spans="1:7" ht="30">
      <c r="A1190" s="106"/>
      <c r="B1190" s="104" t="s">
        <v>597</v>
      </c>
      <c r="C1190" s="105" t="s">
        <v>598</v>
      </c>
      <c r="D1190" s="104" t="s">
        <v>6</v>
      </c>
      <c r="E1190" s="104">
        <v>1.1330000000000002</v>
      </c>
      <c r="F1190" s="155">
        <v>12.54</v>
      </c>
      <c r="G1190" s="107">
        <f>ROUND(E1190*F1190,2)</f>
        <v>14.21</v>
      </c>
    </row>
    <row r="1191" spans="1:7" ht="15.75">
      <c r="A1191" s="106"/>
      <c r="B1191" s="104" t="s">
        <v>889</v>
      </c>
      <c r="C1191" s="105" t="s">
        <v>890</v>
      </c>
      <c r="D1191" s="104" t="s">
        <v>6</v>
      </c>
      <c r="E1191" s="104">
        <v>1.1330000000000002</v>
      </c>
      <c r="F1191" s="155">
        <v>18.63</v>
      </c>
      <c r="G1191" s="107">
        <f>ROUND(E1191*F1191,2)</f>
        <v>21.11</v>
      </c>
    </row>
    <row r="1192" spans="1:7" ht="15.75">
      <c r="A1192" s="106"/>
      <c r="B1192" s="104" t="s">
        <v>891</v>
      </c>
      <c r="C1192" s="105" t="s">
        <v>892</v>
      </c>
      <c r="D1192" s="104" t="s">
        <v>1</v>
      </c>
      <c r="E1192" s="104">
        <v>0.035</v>
      </c>
      <c r="F1192" s="155">
        <v>313.4467</v>
      </c>
      <c r="G1192" s="107">
        <f>ROUND(E1192*F1192,2)</f>
        <v>10.97</v>
      </c>
    </row>
    <row r="1193" spans="1:7" ht="15.75">
      <c r="A1193" s="106"/>
      <c r="B1193" s="104" t="s">
        <v>893</v>
      </c>
      <c r="C1193" s="105" t="s">
        <v>894</v>
      </c>
      <c r="D1193" s="104" t="s">
        <v>1</v>
      </c>
      <c r="E1193" s="104">
        <v>0.002</v>
      </c>
      <c r="F1193" s="155">
        <v>549.9958</v>
      </c>
      <c r="G1193" s="107">
        <f>ROUND(E1193*F1193,2)</f>
        <v>1.1</v>
      </c>
    </row>
    <row r="1194" spans="1:7" ht="15.75">
      <c r="A1194" s="61"/>
      <c r="B1194" s="62"/>
      <c r="C1194" s="63"/>
      <c r="D1194" s="62"/>
      <c r="E1194" s="62" t="s">
        <v>7</v>
      </c>
      <c r="F1194" s="175"/>
      <c r="G1194" s="64">
        <f>ROUND(SUM(G1187:G1193),2)</f>
        <v>127.51</v>
      </c>
    </row>
    <row r="1195" spans="1:7" ht="30">
      <c r="A1195" s="49" t="s">
        <v>588</v>
      </c>
      <c r="B1195" s="215" t="s">
        <v>1041</v>
      </c>
      <c r="C1195" s="50" t="s">
        <v>589</v>
      </c>
      <c r="D1195" s="51" t="s">
        <v>14</v>
      </c>
      <c r="E1195" s="51">
        <v>1</v>
      </c>
      <c r="F1195" s="52">
        <v>86.54</v>
      </c>
      <c r="G1195" s="53">
        <f>ROUND((E1195*F1195),2)</f>
        <v>86.54</v>
      </c>
    </row>
    <row r="1196" spans="1:7" ht="15.75">
      <c r="A1196" s="36" t="s">
        <v>162</v>
      </c>
      <c r="B1196" s="66" t="s">
        <v>1474</v>
      </c>
      <c r="C1196" s="37" t="s">
        <v>1475</v>
      </c>
      <c r="D1196" s="38" t="s">
        <v>14</v>
      </c>
      <c r="E1196" s="38">
        <f>D1209</f>
        <v>3.5555555555555567</v>
      </c>
      <c r="F1196" s="39">
        <f>G1208</f>
        <v>24.37</v>
      </c>
      <c r="G1196" s="214">
        <f>ROUND(E1196*F1196,2)</f>
        <v>86.65</v>
      </c>
    </row>
    <row r="1197" spans="1:7" ht="15.75">
      <c r="A1197" s="41"/>
      <c r="B1197" s="67" t="s">
        <v>1345</v>
      </c>
      <c r="C1197" s="42" t="s">
        <v>1346</v>
      </c>
      <c r="D1197" s="43" t="s">
        <v>5</v>
      </c>
      <c r="E1197" s="43">
        <v>0.08</v>
      </c>
      <c r="F1197" s="44">
        <f>ROUND(9.66,2)</f>
        <v>9.66</v>
      </c>
      <c r="G1197" s="45">
        <f>ROUND(E1197*F1197,2)</f>
        <v>0.77</v>
      </c>
    </row>
    <row r="1198" spans="1:7" ht="15.75">
      <c r="A1198" s="41"/>
      <c r="B1198" s="67" t="s">
        <v>1476</v>
      </c>
      <c r="C1198" s="42" t="s">
        <v>1477</v>
      </c>
      <c r="D1198" s="43" t="s">
        <v>1</v>
      </c>
      <c r="E1198" s="43">
        <v>0.015</v>
      </c>
      <c r="F1198" s="44">
        <f>ROUND(62.5,2)</f>
        <v>62.5</v>
      </c>
      <c r="G1198" s="45">
        <f>ROUND(E1198*F1198,2)</f>
        <v>0.94</v>
      </c>
    </row>
    <row r="1199" spans="1:7" ht="30">
      <c r="A1199" s="41"/>
      <c r="B1199" s="67" t="s">
        <v>1478</v>
      </c>
      <c r="C1199" s="42" t="s">
        <v>1479</v>
      </c>
      <c r="D1199" s="43" t="s">
        <v>3</v>
      </c>
      <c r="E1199" s="43">
        <v>2.5</v>
      </c>
      <c r="F1199" s="44">
        <f>ROUND(1.05,2)</f>
        <v>1.05</v>
      </c>
      <c r="G1199" s="45">
        <f>ROUND(E1199*F1199,2)</f>
        <v>2.63</v>
      </c>
    </row>
    <row r="1200" spans="1:7" ht="15.75">
      <c r="A1200" s="41"/>
      <c r="B1200" s="67" t="s">
        <v>284</v>
      </c>
      <c r="C1200" s="42" t="s">
        <v>1385</v>
      </c>
      <c r="D1200" s="43" t="s">
        <v>5</v>
      </c>
      <c r="E1200" s="43">
        <v>5.54</v>
      </c>
      <c r="F1200" s="44">
        <f>ROUND(0.41,2)</f>
        <v>0.41</v>
      </c>
      <c r="G1200" s="45">
        <f>ROUND(E1200*F1200,2)</f>
        <v>2.27</v>
      </c>
    </row>
    <row r="1201" spans="1:7" ht="15.75">
      <c r="A1201" s="41"/>
      <c r="B1201" s="67" t="s">
        <v>1387</v>
      </c>
      <c r="C1201" s="42" t="s">
        <v>1388</v>
      </c>
      <c r="D1201" s="43" t="s">
        <v>1</v>
      </c>
      <c r="E1201" s="43">
        <v>0.016</v>
      </c>
      <c r="F1201" s="44">
        <f>ROUND(72.55,2)</f>
        <v>72.55</v>
      </c>
      <c r="G1201" s="45">
        <f>ROUND(E1201*F1201,2)</f>
        <v>1.16</v>
      </c>
    </row>
    <row r="1202" spans="1:7" ht="15.75">
      <c r="A1202" s="41"/>
      <c r="B1202" s="67" t="s">
        <v>1480</v>
      </c>
      <c r="C1202" s="42" t="s">
        <v>1481</v>
      </c>
      <c r="D1202" s="43" t="s">
        <v>5</v>
      </c>
      <c r="E1202" s="43">
        <v>0.029</v>
      </c>
      <c r="F1202" s="44">
        <f>ROUND(17.98,2)</f>
        <v>17.98</v>
      </c>
      <c r="G1202" s="45">
        <f>ROUND(E1202*F1202,2)</f>
        <v>0.52</v>
      </c>
    </row>
    <row r="1203" spans="1:7" ht="15.75">
      <c r="A1203" s="41"/>
      <c r="B1203" s="67" t="s">
        <v>186</v>
      </c>
      <c r="C1203" s="42" t="s">
        <v>1412</v>
      </c>
      <c r="D1203" s="43" t="s">
        <v>5</v>
      </c>
      <c r="E1203" s="43">
        <v>1.44</v>
      </c>
      <c r="F1203" s="44">
        <f>ROUND(5.14,2)</f>
        <v>5.14</v>
      </c>
      <c r="G1203" s="45">
        <f>ROUND(E1203*F1203,2)</f>
        <v>7.4</v>
      </c>
    </row>
    <row r="1204" spans="1:7" ht="15.75">
      <c r="A1204" s="41"/>
      <c r="B1204" s="67" t="s">
        <v>119</v>
      </c>
      <c r="C1204" s="42" t="s">
        <v>120</v>
      </c>
      <c r="D1204" s="43" t="s">
        <v>6</v>
      </c>
      <c r="E1204" s="43">
        <v>0.2</v>
      </c>
      <c r="F1204" s="44">
        <f>ROUND(19.32,2)</f>
        <v>19.32</v>
      </c>
      <c r="G1204" s="45">
        <f>ROUND(E1204*F1204,2)</f>
        <v>3.86</v>
      </c>
    </row>
    <row r="1205" spans="1:7" ht="15.75">
      <c r="A1205" s="41"/>
      <c r="B1205" s="67" t="s">
        <v>1058</v>
      </c>
      <c r="C1205" s="42" t="s">
        <v>1059</v>
      </c>
      <c r="D1205" s="43" t="s">
        <v>6</v>
      </c>
      <c r="E1205" s="43">
        <v>0.1</v>
      </c>
      <c r="F1205" s="44">
        <f>ROUND(23.93,2)</f>
        <v>23.93</v>
      </c>
      <c r="G1205" s="45">
        <f>ROUND(E1205*F1205,2)</f>
        <v>2.39</v>
      </c>
    </row>
    <row r="1206" spans="1:7" ht="15.75">
      <c r="A1206" s="41"/>
      <c r="B1206" s="67" t="s">
        <v>1116</v>
      </c>
      <c r="C1206" s="42" t="s">
        <v>1117</v>
      </c>
      <c r="D1206" s="43" t="s">
        <v>6</v>
      </c>
      <c r="E1206" s="43">
        <v>0.1</v>
      </c>
      <c r="F1206" s="44">
        <f>ROUND(24.13,2)</f>
        <v>24.13</v>
      </c>
      <c r="G1206" s="45">
        <f>ROUND(E1206*F1206,2)</f>
        <v>2.41</v>
      </c>
    </row>
    <row r="1207" spans="1:7" ht="45">
      <c r="A1207" s="41"/>
      <c r="B1207" s="67" t="s">
        <v>1393</v>
      </c>
      <c r="C1207" s="42" t="s">
        <v>1394</v>
      </c>
      <c r="D1207" s="43" t="s">
        <v>143</v>
      </c>
      <c r="E1207" s="43">
        <v>0.014</v>
      </c>
      <c r="F1207" s="44">
        <f>ROUND(1.42,2)</f>
        <v>1.42</v>
      </c>
      <c r="G1207" s="45">
        <f>ROUND(E1207*F1207,2)</f>
        <v>0.02</v>
      </c>
    </row>
    <row r="1208" spans="1:7" ht="15.75">
      <c r="A1208" s="41"/>
      <c r="B1208" s="67"/>
      <c r="C1208" s="42"/>
      <c r="D1208" s="43"/>
      <c r="E1208" s="43" t="s">
        <v>7</v>
      </c>
      <c r="F1208" s="44"/>
      <c r="G1208" s="45">
        <f>ROUND(SUM(G1197:G1207),2)</f>
        <v>24.37</v>
      </c>
    </row>
    <row r="1209" spans="1:7" s="222" customFormat="1" ht="31.5">
      <c r="A1209" s="216"/>
      <c r="B1209" s="217"/>
      <c r="C1209" s="301" t="s">
        <v>1197</v>
      </c>
      <c r="D1209" s="218">
        <f>(0.8*0.8*0.1)/(0.6*0.6*0.05)</f>
        <v>3.5555555555555567</v>
      </c>
      <c r="E1209" s="219"/>
      <c r="F1209" s="220"/>
      <c r="G1209" s="221"/>
    </row>
    <row r="1210" spans="1:7" s="172" customFormat="1" ht="15.75">
      <c r="A1210" s="170" t="s">
        <v>162</v>
      </c>
      <c r="B1210" s="170"/>
      <c r="C1210" s="171"/>
      <c r="D1210" s="170"/>
      <c r="E1210" s="170"/>
      <c r="F1210" s="170" t="s">
        <v>330</v>
      </c>
      <c r="G1210" s="169">
        <f>G1138+G1146+G1161+G1157+G1170+G1178+G1185+G1195</f>
        <v>9447.960000000001</v>
      </c>
    </row>
    <row r="1211" spans="1:7" s="121" customFormat="1" ht="15.75">
      <c r="A1211" s="302" t="s">
        <v>42</v>
      </c>
      <c r="B1211" s="303"/>
      <c r="C1211" s="304" t="s">
        <v>487</v>
      </c>
      <c r="D1211" s="305"/>
      <c r="E1211" s="305"/>
      <c r="F1211" s="306"/>
      <c r="G1211" s="147"/>
    </row>
    <row r="1212" spans="1:7" s="121" customFormat="1" ht="15.75">
      <c r="A1212" s="144" t="s">
        <v>331</v>
      </c>
      <c r="B1212" s="151" t="s">
        <v>1045</v>
      </c>
      <c r="C1212" s="145" t="s">
        <v>488</v>
      </c>
      <c r="D1212" s="144" t="s">
        <v>1</v>
      </c>
      <c r="E1212" s="279">
        <v>40.12</v>
      </c>
      <c r="F1212" s="34">
        <v>22.37</v>
      </c>
      <c r="G1212" s="28">
        <f>ROUND((E1212*F1212),2)</f>
        <v>897.48</v>
      </c>
    </row>
    <row r="1213" spans="1:7" s="121" customFormat="1" ht="15.75">
      <c r="A1213" s="137" t="s">
        <v>162</v>
      </c>
      <c r="B1213" s="113" t="s">
        <v>1045</v>
      </c>
      <c r="C1213" s="139" t="s">
        <v>488</v>
      </c>
      <c r="D1213" s="138" t="s">
        <v>1</v>
      </c>
      <c r="E1213" s="138">
        <v>1</v>
      </c>
      <c r="F1213" s="143">
        <f>G1216</f>
        <v>22.38</v>
      </c>
      <c r="G1213" s="107">
        <f>ROUND(E1213*F1213,2)</f>
        <v>22.38</v>
      </c>
    </row>
    <row r="1214" spans="1:7" s="121" customFormat="1" ht="15.75">
      <c r="A1214" s="137"/>
      <c r="B1214" s="113" t="s">
        <v>119</v>
      </c>
      <c r="C1214" s="139" t="s">
        <v>120</v>
      </c>
      <c r="D1214" s="138" t="s">
        <v>6</v>
      </c>
      <c r="E1214" s="138">
        <v>0.7</v>
      </c>
      <c r="F1214" s="143">
        <f>ROUND(19.32,2)</f>
        <v>19.32</v>
      </c>
      <c r="G1214" s="107">
        <f>ROUND(E1214*F1214,2)</f>
        <v>13.52</v>
      </c>
    </row>
    <row r="1215" spans="1:7" s="121" customFormat="1" ht="45">
      <c r="A1215" s="137"/>
      <c r="B1215" s="113" t="s">
        <v>1482</v>
      </c>
      <c r="C1215" s="139" t="s">
        <v>1483</v>
      </c>
      <c r="D1215" s="138" t="s">
        <v>142</v>
      </c>
      <c r="E1215" s="138">
        <v>0.25</v>
      </c>
      <c r="F1215" s="143">
        <f>ROUND(35.43,2)</f>
        <v>35.43</v>
      </c>
      <c r="G1215" s="107">
        <f>ROUND(E1215*F1215,2)</f>
        <v>8.86</v>
      </c>
    </row>
    <row r="1216" spans="1:7" s="121" customFormat="1" ht="15.75">
      <c r="A1216" s="137"/>
      <c r="B1216" s="113"/>
      <c r="C1216" s="139"/>
      <c r="D1216" s="138"/>
      <c r="E1216" s="138" t="s">
        <v>7</v>
      </c>
      <c r="F1216" s="143"/>
      <c r="G1216" s="107">
        <f>ROUND(SUM(G1214:G1215),2)</f>
        <v>22.38</v>
      </c>
    </row>
    <row r="1217" spans="1:7" s="121" customFormat="1" ht="15.75">
      <c r="A1217" s="144" t="s">
        <v>332</v>
      </c>
      <c r="B1217" s="151" t="s">
        <v>1046</v>
      </c>
      <c r="C1217" s="145" t="s">
        <v>1198</v>
      </c>
      <c r="D1217" s="144" t="s">
        <v>1</v>
      </c>
      <c r="E1217" s="279">
        <v>81.13</v>
      </c>
      <c r="F1217" s="34">
        <v>3.96</v>
      </c>
      <c r="G1217" s="28">
        <f>ROUND((E1217*F1217),2)</f>
        <v>321.27</v>
      </c>
    </row>
    <row r="1218" spans="1:7" s="121" customFormat="1" ht="15.75">
      <c r="A1218" s="137" t="s">
        <v>162</v>
      </c>
      <c r="B1218" s="113" t="s">
        <v>1046</v>
      </c>
      <c r="C1218" s="139" t="s">
        <v>489</v>
      </c>
      <c r="D1218" s="138" t="s">
        <v>1</v>
      </c>
      <c r="E1218" s="138">
        <v>1</v>
      </c>
      <c r="F1218" s="143">
        <f>G1222</f>
        <v>3.98</v>
      </c>
      <c r="G1218" s="107">
        <f>ROUND(E1218*F1218,2)</f>
        <v>3.98</v>
      </c>
    </row>
    <row r="1219" spans="1:7" s="121" customFormat="1" ht="15.75">
      <c r="A1219" s="137"/>
      <c r="B1219" s="113" t="s">
        <v>119</v>
      </c>
      <c r="C1219" s="139" t="s">
        <v>120</v>
      </c>
      <c r="D1219" s="138" t="s">
        <v>6</v>
      </c>
      <c r="E1219" s="138">
        <v>0.018</v>
      </c>
      <c r="F1219" s="143">
        <f>ROUND(19.32,2)</f>
        <v>19.32</v>
      </c>
      <c r="G1219" s="107">
        <f>ROUND(E1219*F1219,2)</f>
        <v>0.35</v>
      </c>
    </row>
    <row r="1220" spans="1:7" s="121" customFormat="1" ht="30">
      <c r="A1220" s="137"/>
      <c r="B1220" s="113" t="s">
        <v>1484</v>
      </c>
      <c r="C1220" s="139" t="s">
        <v>1485</v>
      </c>
      <c r="D1220" s="138" t="s">
        <v>143</v>
      </c>
      <c r="E1220" s="138">
        <v>0.018</v>
      </c>
      <c r="F1220" s="143">
        <f>ROUND(137.95,2)</f>
        <v>137.95</v>
      </c>
      <c r="G1220" s="107">
        <f>ROUND(E1220*F1220,2)</f>
        <v>2.48</v>
      </c>
    </row>
    <row r="1221" spans="1:7" s="121" customFormat="1" ht="45">
      <c r="A1221" s="137"/>
      <c r="B1221" s="113" t="s">
        <v>1486</v>
      </c>
      <c r="C1221" s="139" t="s">
        <v>1487</v>
      </c>
      <c r="D1221" s="138" t="s">
        <v>143</v>
      </c>
      <c r="E1221" s="138">
        <v>0.007</v>
      </c>
      <c r="F1221" s="143">
        <f>ROUND(163.86,2)</f>
        <v>163.86</v>
      </c>
      <c r="G1221" s="107">
        <f>ROUND(E1221*F1221,2)</f>
        <v>1.15</v>
      </c>
    </row>
    <row r="1222" spans="1:7" s="121" customFormat="1" ht="15.75">
      <c r="A1222" s="137"/>
      <c r="B1222" s="113"/>
      <c r="C1222" s="139"/>
      <c r="D1222" s="138"/>
      <c r="E1222" s="138" t="s">
        <v>7</v>
      </c>
      <c r="F1222" s="143"/>
      <c r="G1222" s="107">
        <f>ROUND(SUM(G1219:G1221),2)</f>
        <v>3.98</v>
      </c>
    </row>
    <row r="1223" spans="1:7" s="121" customFormat="1" ht="30.75">
      <c r="A1223" s="144" t="s">
        <v>333</v>
      </c>
      <c r="B1223" s="144" t="s">
        <v>1047</v>
      </c>
      <c r="C1223" s="145" t="s">
        <v>1199</v>
      </c>
      <c r="D1223" s="144" t="s">
        <v>391</v>
      </c>
      <c r="E1223" s="279">
        <f>ROUND(((40.12+81.13)*10.8),2)</f>
        <v>1309.5</v>
      </c>
      <c r="F1223" s="34">
        <f>ROUND(F1224,2)</f>
        <v>1.56</v>
      </c>
      <c r="G1223" s="28">
        <f>ROUND((E1223*F1223),2)</f>
        <v>2042.82</v>
      </c>
    </row>
    <row r="1224" spans="1:7" s="121" customFormat="1" ht="30">
      <c r="A1224" s="137" t="s">
        <v>162</v>
      </c>
      <c r="B1224" s="138" t="s">
        <v>1047</v>
      </c>
      <c r="C1224" s="139" t="s">
        <v>490</v>
      </c>
      <c r="D1224" s="138" t="s">
        <v>391</v>
      </c>
      <c r="E1224" s="138">
        <v>1</v>
      </c>
      <c r="F1224" s="143">
        <f>G1227</f>
        <v>1.56</v>
      </c>
      <c r="G1224" s="107">
        <f>ROUND(E1224*F1224,2)</f>
        <v>1.56</v>
      </c>
    </row>
    <row r="1225" spans="1:7" s="121" customFormat="1" ht="45">
      <c r="A1225" s="137"/>
      <c r="B1225" s="138" t="s">
        <v>1488</v>
      </c>
      <c r="C1225" s="139" t="s">
        <v>1489</v>
      </c>
      <c r="D1225" s="138" t="s">
        <v>142</v>
      </c>
      <c r="E1225" s="138">
        <v>0.0026</v>
      </c>
      <c r="F1225" s="143">
        <f>ROUND(34.77,2)</f>
        <v>34.77</v>
      </c>
      <c r="G1225" s="107">
        <f>ROUND(E1225*F1225,2)</f>
        <v>0.09</v>
      </c>
    </row>
    <row r="1226" spans="1:7" s="121" customFormat="1" ht="45">
      <c r="A1226" s="137"/>
      <c r="B1226" s="138" t="s">
        <v>1490</v>
      </c>
      <c r="C1226" s="139" t="s">
        <v>1491</v>
      </c>
      <c r="D1226" s="138" t="s">
        <v>143</v>
      </c>
      <c r="E1226" s="138">
        <v>0.01042</v>
      </c>
      <c r="F1226" s="143">
        <f>ROUND(141.1,2)</f>
        <v>141.1</v>
      </c>
      <c r="G1226" s="107">
        <f>ROUND(E1226*F1226,2)</f>
        <v>1.47</v>
      </c>
    </row>
    <row r="1227" spans="1:7" s="121" customFormat="1" ht="15.75">
      <c r="A1227" s="137"/>
      <c r="B1227" s="138"/>
      <c r="C1227" s="139"/>
      <c r="D1227" s="138"/>
      <c r="E1227" s="138" t="s">
        <v>7</v>
      </c>
      <c r="F1227" s="143"/>
      <c r="G1227" s="107">
        <f>ROUND(SUM(G1225:G1226),2)</f>
        <v>1.56</v>
      </c>
    </row>
    <row r="1228" spans="1:7" s="121" customFormat="1" ht="46.5">
      <c r="A1228" s="144" t="s">
        <v>334</v>
      </c>
      <c r="B1228" s="144" t="s">
        <v>392</v>
      </c>
      <c r="C1228" s="145" t="s">
        <v>1200</v>
      </c>
      <c r="D1228" s="144" t="s">
        <v>1</v>
      </c>
      <c r="E1228" s="279">
        <f>ROUND((40.12+81.11),2)</f>
        <v>121.23</v>
      </c>
      <c r="F1228" s="34">
        <f>ROUND(F1229,2)</f>
        <v>54</v>
      </c>
      <c r="G1228" s="28">
        <f>ROUND((E1228*F1228),2)</f>
        <v>6546.42</v>
      </c>
    </row>
    <row r="1229" spans="1:7" s="121" customFormat="1" ht="30">
      <c r="A1229" s="133" t="s">
        <v>151</v>
      </c>
      <c r="B1229" s="134" t="s">
        <v>1006</v>
      </c>
      <c r="C1229" s="135" t="s">
        <v>491</v>
      </c>
      <c r="D1229" s="134" t="s">
        <v>1</v>
      </c>
      <c r="E1229" s="134">
        <v>1</v>
      </c>
      <c r="F1229" s="136">
        <f>G1231</f>
        <v>54</v>
      </c>
      <c r="G1229" s="60">
        <f>E1229*F1229</f>
        <v>54</v>
      </c>
    </row>
    <row r="1230" spans="1:7" s="121" customFormat="1" ht="15.75">
      <c r="A1230" s="137"/>
      <c r="B1230" s="138" t="s">
        <v>115</v>
      </c>
      <c r="C1230" s="139" t="s">
        <v>492</v>
      </c>
      <c r="D1230" s="138" t="s">
        <v>1</v>
      </c>
      <c r="E1230" s="138">
        <v>1</v>
      </c>
      <c r="F1230" s="138">
        <v>54</v>
      </c>
      <c r="G1230" s="107">
        <f>E1230*F1230</f>
        <v>54</v>
      </c>
    </row>
    <row r="1231" spans="1:7" s="121" customFormat="1" ht="15.75">
      <c r="A1231" s="140"/>
      <c r="B1231" s="141"/>
      <c r="C1231" s="142"/>
      <c r="D1231" s="141"/>
      <c r="E1231" s="141" t="s">
        <v>7</v>
      </c>
      <c r="F1231" s="141"/>
      <c r="G1231" s="64">
        <f>SUM(G1230:G1230)</f>
        <v>54</v>
      </c>
    </row>
    <row r="1232" spans="1:7" s="121" customFormat="1" ht="30">
      <c r="A1232" s="144" t="s">
        <v>337</v>
      </c>
      <c r="B1232" s="144" t="s">
        <v>1048</v>
      </c>
      <c r="C1232" s="145" t="s">
        <v>493</v>
      </c>
      <c r="D1232" s="144" t="s">
        <v>94</v>
      </c>
      <c r="E1232" s="279">
        <v>18</v>
      </c>
      <c r="F1232" s="34">
        <v>11.15</v>
      </c>
      <c r="G1232" s="28">
        <f>ROUND((E1232*F1232),2)</f>
        <v>200.7</v>
      </c>
    </row>
    <row r="1233" spans="1:7" s="121" customFormat="1" ht="30">
      <c r="A1233" s="180"/>
      <c r="B1233" s="180" t="s">
        <v>1048</v>
      </c>
      <c r="C1233" s="310" t="s">
        <v>493</v>
      </c>
      <c r="D1233" s="180" t="s">
        <v>94</v>
      </c>
      <c r="E1233" s="180">
        <v>1</v>
      </c>
      <c r="F1233" s="180">
        <f>G1235</f>
        <v>11.16</v>
      </c>
      <c r="G1233" s="180">
        <f>ROUND(E1233*F1233,2)</f>
        <v>11.16</v>
      </c>
    </row>
    <row r="1234" spans="1:7" s="121" customFormat="1" ht="45">
      <c r="A1234" s="180"/>
      <c r="B1234" s="180" t="s">
        <v>1492</v>
      </c>
      <c r="C1234" s="310" t="s">
        <v>1493</v>
      </c>
      <c r="D1234" s="180" t="s">
        <v>143</v>
      </c>
      <c r="E1234" s="180">
        <v>0.0843</v>
      </c>
      <c r="F1234" s="180">
        <f>ROUND(132.38,2)</f>
        <v>132.38</v>
      </c>
      <c r="G1234" s="180">
        <f>ROUND(E1234*F1234,2)</f>
        <v>11.16</v>
      </c>
    </row>
    <row r="1235" spans="1:7" s="121" customFormat="1" ht="15.75">
      <c r="A1235" s="180"/>
      <c r="B1235" s="180"/>
      <c r="C1235" s="310"/>
      <c r="D1235" s="180"/>
      <c r="E1235" s="180" t="s">
        <v>7</v>
      </c>
      <c r="F1235" s="180"/>
      <c r="G1235" s="180">
        <f>ROUND(SUM(G1234:G1234),2)</f>
        <v>11.16</v>
      </c>
    </row>
    <row r="1236" spans="1:7" s="121" customFormat="1" ht="31.5">
      <c r="A1236" s="144" t="s">
        <v>393</v>
      </c>
      <c r="B1236" s="144" t="s">
        <v>1049</v>
      </c>
      <c r="C1236" s="145" t="s">
        <v>1201</v>
      </c>
      <c r="D1236" s="144" t="s">
        <v>336</v>
      </c>
      <c r="E1236" s="279">
        <v>36</v>
      </c>
      <c r="F1236" s="34">
        <v>0.59</v>
      </c>
      <c r="G1236" s="28">
        <f>ROUND((E1236*F1236),2)</f>
        <v>21.24</v>
      </c>
    </row>
    <row r="1237" spans="1:7" s="121" customFormat="1" ht="15.75">
      <c r="A1237" s="180"/>
      <c r="B1237" s="180" t="s">
        <v>1049</v>
      </c>
      <c r="C1237" s="310" t="s">
        <v>494</v>
      </c>
      <c r="D1237" s="180" t="s">
        <v>336</v>
      </c>
      <c r="E1237" s="180">
        <v>1</v>
      </c>
      <c r="F1237" s="180">
        <f>G1239</f>
        <v>0.6</v>
      </c>
      <c r="G1237" s="180">
        <f>ROUND(E1237*F1237,2)</f>
        <v>0.6</v>
      </c>
    </row>
    <row r="1238" spans="1:7" s="121" customFormat="1" ht="45">
      <c r="A1238" s="180"/>
      <c r="B1238" s="180" t="s">
        <v>1492</v>
      </c>
      <c r="C1238" s="310" t="s">
        <v>1493</v>
      </c>
      <c r="D1238" s="180" t="s">
        <v>143</v>
      </c>
      <c r="E1238" s="180">
        <v>0.0045</v>
      </c>
      <c r="F1238" s="180">
        <f>ROUND(132.38,2)</f>
        <v>132.38</v>
      </c>
      <c r="G1238" s="180">
        <f>ROUND(E1238*F1238,2)</f>
        <v>0.6</v>
      </c>
    </row>
    <row r="1239" spans="1:7" s="121" customFormat="1" ht="15.75">
      <c r="A1239" s="180"/>
      <c r="B1239" s="180"/>
      <c r="C1239" s="310"/>
      <c r="D1239" s="180"/>
      <c r="E1239" s="180" t="s">
        <v>7</v>
      </c>
      <c r="F1239" s="180"/>
      <c r="G1239" s="180">
        <f>ROUND(SUM(G1238:G1238),2)</f>
        <v>0.6</v>
      </c>
    </row>
    <row r="1240" spans="1:7" s="121" customFormat="1" ht="30">
      <c r="A1240" s="130" t="s">
        <v>1212</v>
      </c>
      <c r="B1240" s="130" t="s">
        <v>1213</v>
      </c>
      <c r="C1240" s="131" t="s">
        <v>1219</v>
      </c>
      <c r="D1240" s="130" t="s">
        <v>1</v>
      </c>
      <c r="E1240" s="252">
        <v>4</v>
      </c>
      <c r="F1240" s="405">
        <f>ROUND(F1241,2)</f>
        <v>18.08</v>
      </c>
      <c r="G1240" s="35">
        <f>ROUND((E1240*F1240),2)</f>
        <v>72.32</v>
      </c>
    </row>
    <row r="1241" spans="1:7" s="404" customFormat="1" ht="45">
      <c r="A1241" s="412"/>
      <c r="B1241" s="413" t="s">
        <v>1213</v>
      </c>
      <c r="C1241" s="414" t="s">
        <v>1214</v>
      </c>
      <c r="D1241" s="413" t="s">
        <v>1</v>
      </c>
      <c r="E1241" s="415">
        <v>1</v>
      </c>
      <c r="F1241" s="39">
        <f>ROUND(18.08268,2)</f>
        <v>18.08</v>
      </c>
      <c r="G1241" s="40">
        <f>ROUND(E1241*F1241,2)</f>
        <v>18.08</v>
      </c>
    </row>
    <row r="1242" spans="1:7" s="404" customFormat="1" ht="30">
      <c r="A1242" s="416"/>
      <c r="B1242" s="409" t="s">
        <v>597</v>
      </c>
      <c r="C1242" s="410" t="s">
        <v>598</v>
      </c>
      <c r="D1242" s="409" t="s">
        <v>6</v>
      </c>
      <c r="E1242" s="411">
        <v>1.442</v>
      </c>
      <c r="F1242" s="44">
        <v>12.54</v>
      </c>
      <c r="G1242" s="45">
        <f>ROUND(E1242*F1242,2)</f>
        <v>18.08</v>
      </c>
    </row>
    <row r="1243" spans="1:7" s="404" customFormat="1" ht="15.75">
      <c r="A1243" s="417"/>
      <c r="B1243" s="418"/>
      <c r="C1243" s="419"/>
      <c r="D1243" s="418"/>
      <c r="E1243" s="420" t="s">
        <v>7</v>
      </c>
      <c r="F1243" s="47"/>
      <c r="G1243" s="48">
        <f>ROUND(SUM(G1242:G1242),2)</f>
        <v>18.08</v>
      </c>
    </row>
    <row r="1244" spans="1:7" s="299" customFormat="1" ht="15.75">
      <c r="A1244" s="406" t="s">
        <v>162</v>
      </c>
      <c r="B1244" s="406"/>
      <c r="C1244" s="407"/>
      <c r="D1244" s="406"/>
      <c r="E1244" s="406"/>
      <c r="F1244" s="406" t="s">
        <v>335</v>
      </c>
      <c r="G1244" s="408">
        <f>G1212+G1217+G1223+G1228+G1232+G1236+G1240</f>
        <v>10102.25</v>
      </c>
    </row>
    <row r="1245" spans="1:7" s="300" customFormat="1" ht="15.75">
      <c r="A1245" s="307" t="s">
        <v>162</v>
      </c>
      <c r="B1245" s="307"/>
      <c r="C1245" s="308"/>
      <c r="D1245" s="547" t="s">
        <v>338</v>
      </c>
      <c r="E1245" s="548"/>
      <c r="F1245" s="549"/>
      <c r="G1245" s="309">
        <f>G215+G761+G817+G891+G1054+G1097+G1136+G1210+G1244</f>
        <v>283340.52</v>
      </c>
    </row>
    <row r="1246" ht="15">
      <c r="G1246" s="504"/>
    </row>
    <row r="1247" ht="15">
      <c r="G1247" s="504"/>
    </row>
  </sheetData>
  <sheetProtection/>
  <mergeCells count="15">
    <mergeCell ref="A685:G685"/>
    <mergeCell ref="D1245:F1245"/>
    <mergeCell ref="A9:G9"/>
    <mergeCell ref="A10:A11"/>
    <mergeCell ref="B10:B11"/>
    <mergeCell ref="C10:C11"/>
    <mergeCell ref="D10:D11"/>
    <mergeCell ref="E10:E11"/>
    <mergeCell ref="F10:G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46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="70" zoomScaleSheetLayoutView="70" zoomScalePageLayoutView="0" workbookViewId="0" topLeftCell="A177">
      <selection activeCell="C194" sqref="C194"/>
    </sheetView>
  </sheetViews>
  <sheetFormatPr defaultColWidth="9.140625" defaultRowHeight="15"/>
  <cols>
    <col min="1" max="1" width="9.140625" style="315" customWidth="1"/>
    <col min="2" max="2" width="23.7109375" style="315" customWidth="1"/>
    <col min="3" max="3" width="104.00390625" style="1" customWidth="1"/>
    <col min="4" max="4" width="11.140625" style="315" customWidth="1"/>
    <col min="5" max="5" width="11.7109375" style="0" customWidth="1"/>
    <col min="6" max="6" width="17.57421875" style="0" bestFit="1" customWidth="1"/>
    <col min="7" max="7" width="20.57421875" style="338" bestFit="1" customWidth="1"/>
    <col min="8" max="8" width="21.421875" style="0" bestFit="1" customWidth="1"/>
    <col min="9" max="9" width="21.421875" style="0" customWidth="1"/>
    <col min="11" max="11" width="10.00390625" style="0" bestFit="1" customWidth="1"/>
  </cols>
  <sheetData>
    <row r="1" spans="1:9" ht="15.75">
      <c r="A1" s="5"/>
      <c r="B1" s="313"/>
      <c r="C1" s="7" t="s">
        <v>43</v>
      </c>
      <c r="D1" s="393"/>
      <c r="E1" s="340"/>
      <c r="F1" s="10"/>
      <c r="G1" s="336"/>
      <c r="H1" s="10"/>
      <c r="I1" s="11"/>
    </row>
    <row r="2" spans="1:9" ht="15.75">
      <c r="A2" s="12"/>
      <c r="B2" s="314"/>
      <c r="C2" s="14" t="s">
        <v>44</v>
      </c>
      <c r="D2" s="394"/>
      <c r="E2" s="341"/>
      <c r="F2" s="17"/>
      <c r="G2" s="337"/>
      <c r="H2" s="17"/>
      <c r="I2" s="18"/>
    </row>
    <row r="3" spans="1:9" ht="15.75">
      <c r="A3" s="12"/>
      <c r="B3" s="314"/>
      <c r="C3" s="14" t="s">
        <v>45</v>
      </c>
      <c r="D3" s="395"/>
      <c r="E3" s="343"/>
      <c r="F3" s="559" t="s">
        <v>1271</v>
      </c>
      <c r="G3" s="559"/>
      <c r="H3" s="559"/>
      <c r="I3" s="560"/>
    </row>
    <row r="4" spans="1:9" ht="15.75" customHeight="1">
      <c r="A4" s="12"/>
      <c r="B4" s="314"/>
      <c r="C4" s="19" t="s">
        <v>1283</v>
      </c>
      <c r="D4" s="395"/>
      <c r="E4" s="344"/>
      <c r="F4" s="561" t="s">
        <v>1538</v>
      </c>
      <c r="G4" s="561"/>
      <c r="H4" s="561"/>
      <c r="I4" s="562"/>
    </row>
    <row r="5" spans="1:9" ht="15.75" customHeight="1">
      <c r="A5" s="12"/>
      <c r="B5" s="314"/>
      <c r="C5" s="224" t="s">
        <v>340</v>
      </c>
      <c r="D5" s="395"/>
      <c r="E5" s="345"/>
      <c r="F5" s="563" t="s">
        <v>117</v>
      </c>
      <c r="G5" s="563"/>
      <c r="H5" s="563"/>
      <c r="I5" s="564"/>
    </row>
    <row r="6" spans="1:9" ht="15.75">
      <c r="A6" s="12"/>
      <c r="B6" s="314"/>
      <c r="C6" s="20" t="s">
        <v>1311</v>
      </c>
      <c r="D6" s="395"/>
      <c r="E6" s="346"/>
      <c r="F6" s="565" t="s">
        <v>118</v>
      </c>
      <c r="G6" s="565"/>
      <c r="H6" s="565"/>
      <c r="I6" s="566"/>
    </row>
    <row r="7" spans="1:9" ht="15.75">
      <c r="A7" s="12"/>
      <c r="B7" s="314"/>
      <c r="C7" s="226" t="s">
        <v>1050</v>
      </c>
      <c r="D7" s="395"/>
      <c r="E7" s="346"/>
      <c r="F7" s="565" t="s">
        <v>53</v>
      </c>
      <c r="G7" s="565"/>
      <c r="H7" s="565"/>
      <c r="I7" s="566"/>
    </row>
    <row r="8" spans="1:9" ht="15.75">
      <c r="A8" s="21"/>
      <c r="B8" s="22"/>
      <c r="C8" s="23"/>
      <c r="D8" s="396"/>
      <c r="E8" s="347"/>
      <c r="F8" s="575" t="s">
        <v>339</v>
      </c>
      <c r="G8" s="575"/>
      <c r="H8" s="575"/>
      <c r="I8" s="576"/>
    </row>
    <row r="9" spans="1:9" ht="18" customHeight="1">
      <c r="A9" s="577" t="s">
        <v>1537</v>
      </c>
      <c r="B9" s="578"/>
      <c r="C9" s="578"/>
      <c r="D9" s="578"/>
      <c r="E9" s="578"/>
      <c r="F9" s="578"/>
      <c r="G9" s="578"/>
      <c r="H9" s="578"/>
      <c r="I9" s="578"/>
    </row>
    <row r="10" spans="1:9" ht="18">
      <c r="A10" s="568" t="s">
        <v>47</v>
      </c>
      <c r="B10" s="570" t="s">
        <v>48</v>
      </c>
      <c r="C10" s="572" t="s">
        <v>49</v>
      </c>
      <c r="D10" s="568" t="s">
        <v>14</v>
      </c>
      <c r="E10" s="573" t="s">
        <v>50</v>
      </c>
      <c r="F10" s="580" t="s">
        <v>51</v>
      </c>
      <c r="G10" s="581"/>
      <c r="H10" s="581"/>
      <c r="I10" s="582"/>
    </row>
    <row r="11" spans="1:9" ht="18">
      <c r="A11" s="569"/>
      <c r="B11" s="571"/>
      <c r="C11" s="570"/>
      <c r="D11" s="569"/>
      <c r="E11" s="574"/>
      <c r="F11" s="349" t="s">
        <v>52</v>
      </c>
      <c r="G11" s="350" t="s">
        <v>1210</v>
      </c>
      <c r="H11" s="351" t="s">
        <v>7</v>
      </c>
      <c r="I11" s="348" t="s">
        <v>7</v>
      </c>
    </row>
    <row r="12" spans="1:9" s="357" customFormat="1" ht="18.75">
      <c r="A12" s="352" t="s">
        <v>32</v>
      </c>
      <c r="B12" s="352"/>
      <c r="C12" s="353" t="s">
        <v>33</v>
      </c>
      <c r="D12" s="352"/>
      <c r="E12" s="354"/>
      <c r="F12" s="354"/>
      <c r="G12" s="355"/>
      <c r="H12" s="356"/>
      <c r="I12" s="356"/>
    </row>
    <row r="13" spans="1:11" ht="30">
      <c r="A13" s="317" t="s">
        <v>8</v>
      </c>
      <c r="B13" s="317" t="s">
        <v>1007</v>
      </c>
      <c r="C13" s="318" t="s">
        <v>495</v>
      </c>
      <c r="D13" s="317" t="s">
        <v>0</v>
      </c>
      <c r="E13" s="319">
        <v>12</v>
      </c>
      <c r="F13" s="388">
        <f>J13</f>
        <v>314.13</v>
      </c>
      <c r="G13" s="387">
        <f aca="true" t="shared" si="0" ref="G13:G27">ROUND((F13*1.2977),2)</f>
        <v>407.65</v>
      </c>
      <c r="H13" s="380">
        <f aca="true" t="shared" si="1" ref="H13:H27">ROUND((E13*F13),2)</f>
        <v>3769.56</v>
      </c>
      <c r="I13" s="380">
        <f aca="true" t="shared" si="2" ref="I13:I27">ROUND((E13*G13),2)</f>
        <v>4891.8</v>
      </c>
      <c r="J13" s="180">
        <v>314.13</v>
      </c>
      <c r="K13">
        <v>407.65</v>
      </c>
    </row>
    <row r="14" spans="1:11" ht="75">
      <c r="A14" s="317" t="s">
        <v>9</v>
      </c>
      <c r="B14" s="317" t="s">
        <v>605</v>
      </c>
      <c r="C14" s="318" t="s">
        <v>496</v>
      </c>
      <c r="D14" s="317" t="s">
        <v>0</v>
      </c>
      <c r="E14" s="319">
        <v>10</v>
      </c>
      <c r="F14" s="388">
        <f aca="true" t="shared" si="3" ref="F14:F27">J14</f>
        <v>355.25</v>
      </c>
      <c r="G14" s="387">
        <f t="shared" si="0"/>
        <v>461.01</v>
      </c>
      <c r="H14" s="380">
        <f t="shared" si="1"/>
        <v>3552.5</v>
      </c>
      <c r="I14" s="380">
        <f t="shared" si="2"/>
        <v>4610.1</v>
      </c>
      <c r="J14" s="180">
        <v>355.25</v>
      </c>
      <c r="K14">
        <v>461.01</v>
      </c>
    </row>
    <row r="15" spans="1:11" ht="51">
      <c r="A15" s="317" t="s">
        <v>10</v>
      </c>
      <c r="B15" s="317" t="s">
        <v>1307</v>
      </c>
      <c r="C15" s="318" t="s">
        <v>1309</v>
      </c>
      <c r="D15" s="317" t="s">
        <v>14</v>
      </c>
      <c r="E15" s="319">
        <v>1</v>
      </c>
      <c r="F15" s="388">
        <f t="shared" si="3"/>
        <v>1767.33</v>
      </c>
      <c r="G15" s="387">
        <f t="shared" si="0"/>
        <v>2293.46</v>
      </c>
      <c r="H15" s="380">
        <f t="shared" si="1"/>
        <v>1767.33</v>
      </c>
      <c r="I15" s="380">
        <f t="shared" si="2"/>
        <v>2293.46</v>
      </c>
      <c r="J15" s="180">
        <v>1767.33</v>
      </c>
      <c r="K15">
        <v>2293.46</v>
      </c>
    </row>
    <row r="16" spans="1:11" ht="30">
      <c r="A16" s="317" t="s">
        <v>11</v>
      </c>
      <c r="B16" s="317" t="s">
        <v>687</v>
      </c>
      <c r="C16" s="318" t="s">
        <v>497</v>
      </c>
      <c r="D16" s="317" t="s">
        <v>14</v>
      </c>
      <c r="E16" s="319">
        <v>1</v>
      </c>
      <c r="F16" s="388">
        <f t="shared" si="3"/>
        <v>2890.65</v>
      </c>
      <c r="G16" s="387">
        <f t="shared" si="0"/>
        <v>3751.2</v>
      </c>
      <c r="H16" s="380">
        <f t="shared" si="1"/>
        <v>2890.65</v>
      </c>
      <c r="I16" s="380">
        <f t="shared" si="2"/>
        <v>3751.2</v>
      </c>
      <c r="J16" s="180">
        <v>2890.65</v>
      </c>
      <c r="K16">
        <v>3751.2</v>
      </c>
    </row>
    <row r="17" spans="1:11" ht="15.75">
      <c r="A17" s="317" t="s">
        <v>12</v>
      </c>
      <c r="B17" s="317" t="s">
        <v>699</v>
      </c>
      <c r="C17" s="318" t="s">
        <v>498</v>
      </c>
      <c r="D17" s="317" t="s">
        <v>0</v>
      </c>
      <c r="E17" s="316">
        <f>(3.5*3.1)+(0.8*2.1)</f>
        <v>12.53</v>
      </c>
      <c r="F17" s="388">
        <f t="shared" si="3"/>
        <v>12.91</v>
      </c>
      <c r="G17" s="387">
        <f t="shared" si="0"/>
        <v>16.75</v>
      </c>
      <c r="H17" s="380">
        <f t="shared" si="1"/>
        <v>161.76</v>
      </c>
      <c r="I17" s="380">
        <f t="shared" si="2"/>
        <v>209.88</v>
      </c>
      <c r="J17" s="180">
        <v>12.91</v>
      </c>
      <c r="K17">
        <v>16.75</v>
      </c>
    </row>
    <row r="18" spans="1:11" s="132" customFormat="1" ht="31.5">
      <c r="A18" s="321" t="s">
        <v>13</v>
      </c>
      <c r="B18" s="321" t="s">
        <v>701</v>
      </c>
      <c r="C18" s="322" t="s">
        <v>499</v>
      </c>
      <c r="D18" s="321" t="s">
        <v>3</v>
      </c>
      <c r="E18" s="323">
        <f>57+14</f>
        <v>71</v>
      </c>
      <c r="F18" s="388">
        <f t="shared" si="3"/>
        <v>4.45</v>
      </c>
      <c r="G18" s="387">
        <f t="shared" si="0"/>
        <v>5.77</v>
      </c>
      <c r="H18" s="380">
        <f t="shared" si="1"/>
        <v>315.95</v>
      </c>
      <c r="I18" s="380">
        <f t="shared" si="2"/>
        <v>409.67</v>
      </c>
      <c r="J18" s="180">
        <v>4.45</v>
      </c>
      <c r="K18" s="132">
        <v>5.77</v>
      </c>
    </row>
    <row r="19" spans="1:11" s="177" customFormat="1" ht="15.75">
      <c r="A19" s="321" t="s">
        <v>157</v>
      </c>
      <c r="B19" s="321" t="s">
        <v>699</v>
      </c>
      <c r="C19" s="322" t="s">
        <v>434</v>
      </c>
      <c r="D19" s="321" t="s">
        <v>0</v>
      </c>
      <c r="E19" s="320">
        <v>60.68</v>
      </c>
      <c r="F19" s="388">
        <f t="shared" si="3"/>
        <v>12.91</v>
      </c>
      <c r="G19" s="387">
        <f t="shared" si="0"/>
        <v>16.75</v>
      </c>
      <c r="H19" s="380">
        <f t="shared" si="1"/>
        <v>783.38</v>
      </c>
      <c r="I19" s="380">
        <f t="shared" si="2"/>
        <v>1016.39</v>
      </c>
      <c r="J19" s="180">
        <v>12.91</v>
      </c>
      <c r="K19" s="177">
        <v>16.75</v>
      </c>
    </row>
    <row r="20" spans="1:11" s="132" customFormat="1" ht="31.5">
      <c r="A20" s="321" t="s">
        <v>158</v>
      </c>
      <c r="B20" s="321" t="s">
        <v>1100</v>
      </c>
      <c r="C20" s="322" t="s">
        <v>500</v>
      </c>
      <c r="D20" s="321" t="s">
        <v>1</v>
      </c>
      <c r="E20" s="320">
        <v>1.74</v>
      </c>
      <c r="F20" s="388">
        <f t="shared" si="3"/>
        <v>50.37</v>
      </c>
      <c r="G20" s="387">
        <f t="shared" si="0"/>
        <v>65.37</v>
      </c>
      <c r="H20" s="380">
        <f t="shared" si="1"/>
        <v>87.64</v>
      </c>
      <c r="I20" s="380">
        <f t="shared" si="2"/>
        <v>113.74</v>
      </c>
      <c r="J20" s="180">
        <v>50.37</v>
      </c>
      <c r="K20" s="132">
        <v>65.37</v>
      </c>
    </row>
    <row r="21" spans="1:11" s="132" customFormat="1" ht="30.75">
      <c r="A21" s="321" t="s">
        <v>159</v>
      </c>
      <c r="B21" s="321" t="s">
        <v>1008</v>
      </c>
      <c r="C21" s="322" t="s">
        <v>501</v>
      </c>
      <c r="D21" s="321" t="s">
        <v>1</v>
      </c>
      <c r="E21" s="320">
        <v>3.51</v>
      </c>
      <c r="F21" s="388">
        <f t="shared" si="3"/>
        <v>244.21</v>
      </c>
      <c r="G21" s="387">
        <f t="shared" si="0"/>
        <v>316.91</v>
      </c>
      <c r="H21" s="380">
        <f t="shared" si="1"/>
        <v>857.18</v>
      </c>
      <c r="I21" s="380">
        <f t="shared" si="2"/>
        <v>1112.35</v>
      </c>
      <c r="J21" s="180">
        <v>244.21</v>
      </c>
      <c r="K21" s="132">
        <v>316.91</v>
      </c>
    </row>
    <row r="22" spans="1:11" s="132" customFormat="1" ht="30">
      <c r="A22" s="321" t="s">
        <v>160</v>
      </c>
      <c r="B22" s="321" t="s">
        <v>705</v>
      </c>
      <c r="C22" s="322" t="s">
        <v>502</v>
      </c>
      <c r="D22" s="321" t="s">
        <v>1</v>
      </c>
      <c r="E22" s="323">
        <v>7.75</v>
      </c>
      <c r="F22" s="388">
        <f t="shared" si="3"/>
        <v>116.91</v>
      </c>
      <c r="G22" s="387">
        <f t="shared" si="0"/>
        <v>151.71</v>
      </c>
      <c r="H22" s="380">
        <f t="shared" si="1"/>
        <v>906.05</v>
      </c>
      <c r="I22" s="380">
        <f t="shared" si="2"/>
        <v>1175.75</v>
      </c>
      <c r="J22" s="180">
        <v>116.91</v>
      </c>
      <c r="K22" s="132">
        <v>151.71</v>
      </c>
    </row>
    <row r="23" spans="1:11" s="132" customFormat="1" ht="15.75">
      <c r="A23" s="321" t="s">
        <v>161</v>
      </c>
      <c r="B23" s="321" t="s">
        <v>711</v>
      </c>
      <c r="C23" s="322" t="s">
        <v>503</v>
      </c>
      <c r="D23" s="321" t="s">
        <v>0</v>
      </c>
      <c r="E23" s="320">
        <v>14.94</v>
      </c>
      <c r="F23" s="388">
        <f t="shared" si="3"/>
        <v>4.52</v>
      </c>
      <c r="G23" s="387">
        <f t="shared" si="0"/>
        <v>5.87</v>
      </c>
      <c r="H23" s="380">
        <f t="shared" si="1"/>
        <v>67.53</v>
      </c>
      <c r="I23" s="380">
        <f t="shared" si="2"/>
        <v>87.7</v>
      </c>
      <c r="J23" s="180">
        <v>4.52</v>
      </c>
      <c r="K23" s="132">
        <v>5.87</v>
      </c>
    </row>
    <row r="24" spans="1:11" s="132" customFormat="1" ht="30">
      <c r="A24" s="321" t="s">
        <v>165</v>
      </c>
      <c r="B24" s="321" t="s">
        <v>713</v>
      </c>
      <c r="C24" s="322" t="s">
        <v>504</v>
      </c>
      <c r="D24" s="321" t="s">
        <v>3</v>
      </c>
      <c r="E24" s="323">
        <v>24</v>
      </c>
      <c r="F24" s="388">
        <f t="shared" si="3"/>
        <v>14.2</v>
      </c>
      <c r="G24" s="387">
        <f t="shared" si="0"/>
        <v>18.43</v>
      </c>
      <c r="H24" s="380">
        <f t="shared" si="1"/>
        <v>340.8</v>
      </c>
      <c r="I24" s="380">
        <f t="shared" si="2"/>
        <v>442.32</v>
      </c>
      <c r="J24" s="180">
        <v>14.2</v>
      </c>
      <c r="K24" s="132">
        <v>18.43</v>
      </c>
    </row>
    <row r="25" spans="1:11" s="157" customFormat="1" ht="15.75">
      <c r="A25" s="321" t="s">
        <v>167</v>
      </c>
      <c r="B25" s="321" t="s">
        <v>715</v>
      </c>
      <c r="C25" s="322" t="s">
        <v>505</v>
      </c>
      <c r="D25" s="321" t="s">
        <v>14</v>
      </c>
      <c r="E25" s="323">
        <v>1</v>
      </c>
      <c r="F25" s="388">
        <f t="shared" si="3"/>
        <v>30.73</v>
      </c>
      <c r="G25" s="387">
        <f t="shared" si="0"/>
        <v>39.88</v>
      </c>
      <c r="H25" s="380">
        <f t="shared" si="1"/>
        <v>30.73</v>
      </c>
      <c r="I25" s="380">
        <f t="shared" si="2"/>
        <v>39.88</v>
      </c>
      <c r="J25" s="180">
        <v>30.73</v>
      </c>
      <c r="K25" s="157">
        <v>39.88</v>
      </c>
    </row>
    <row r="26" spans="1:11" s="132" customFormat="1" ht="30">
      <c r="A26" s="321" t="s">
        <v>169</v>
      </c>
      <c r="B26" s="321" t="s">
        <v>1103</v>
      </c>
      <c r="C26" s="322" t="s">
        <v>506</v>
      </c>
      <c r="D26" s="321" t="s">
        <v>14</v>
      </c>
      <c r="E26" s="323">
        <v>1</v>
      </c>
      <c r="F26" s="388">
        <f t="shared" si="3"/>
        <v>55.01</v>
      </c>
      <c r="G26" s="387">
        <f t="shared" si="0"/>
        <v>71.39</v>
      </c>
      <c r="H26" s="380">
        <f t="shared" si="1"/>
        <v>55.01</v>
      </c>
      <c r="I26" s="380">
        <f t="shared" si="2"/>
        <v>71.39</v>
      </c>
      <c r="J26" s="180">
        <v>55.01</v>
      </c>
      <c r="K26" s="132">
        <v>71.39</v>
      </c>
    </row>
    <row r="27" spans="1:11" s="132" customFormat="1" ht="31.5">
      <c r="A27" s="321" t="s">
        <v>170</v>
      </c>
      <c r="B27" s="321" t="s">
        <v>1009</v>
      </c>
      <c r="C27" s="322" t="s">
        <v>507</v>
      </c>
      <c r="D27" s="321" t="s">
        <v>263</v>
      </c>
      <c r="E27" s="320">
        <v>297.75</v>
      </c>
      <c r="F27" s="388">
        <f t="shared" si="3"/>
        <v>1.97</v>
      </c>
      <c r="G27" s="387">
        <f t="shared" si="0"/>
        <v>2.56</v>
      </c>
      <c r="H27" s="380">
        <f t="shared" si="1"/>
        <v>586.57</v>
      </c>
      <c r="I27" s="380">
        <f t="shared" si="2"/>
        <v>762.24</v>
      </c>
      <c r="J27" s="180">
        <v>1.97</v>
      </c>
      <c r="K27" s="132">
        <v>2.56</v>
      </c>
    </row>
    <row r="28" spans="1:11" s="363" customFormat="1" ht="18.75">
      <c r="A28" s="358" t="s">
        <v>162</v>
      </c>
      <c r="B28" s="358"/>
      <c r="C28" s="359"/>
      <c r="D28" s="358"/>
      <c r="E28" s="360"/>
      <c r="F28" s="360" t="s">
        <v>265</v>
      </c>
      <c r="G28" s="361"/>
      <c r="H28" s="381">
        <f>SUM(H13:H27)</f>
        <v>16172.639999999998</v>
      </c>
      <c r="I28" s="381">
        <f>SUM(I13:I27)</f>
        <v>20987.870000000003</v>
      </c>
      <c r="J28" s="362"/>
      <c r="K28" s="363">
        <v>0</v>
      </c>
    </row>
    <row r="29" spans="1:11" s="357" customFormat="1" ht="18.75">
      <c r="A29" s="352" t="s">
        <v>34</v>
      </c>
      <c r="B29" s="352"/>
      <c r="C29" s="353" t="s">
        <v>123</v>
      </c>
      <c r="D29" s="352"/>
      <c r="E29" s="354"/>
      <c r="F29" s="354"/>
      <c r="G29" s="355"/>
      <c r="H29" s="382"/>
      <c r="I29" s="382"/>
      <c r="J29" s="362"/>
      <c r="K29" s="357">
        <v>0</v>
      </c>
    </row>
    <row r="30" spans="1:10" s="357" customFormat="1" ht="18.75">
      <c r="A30" s="352" t="s">
        <v>162</v>
      </c>
      <c r="B30" s="352"/>
      <c r="C30" s="353" t="s">
        <v>1166</v>
      </c>
      <c r="D30" s="352"/>
      <c r="E30" s="354"/>
      <c r="F30" s="354"/>
      <c r="G30" s="355"/>
      <c r="H30" s="382"/>
      <c r="I30" s="382"/>
      <c r="J30" s="362"/>
    </row>
    <row r="31" spans="1:10" s="357" customFormat="1" ht="18.75">
      <c r="A31" s="352" t="s">
        <v>162</v>
      </c>
      <c r="B31" s="352"/>
      <c r="C31" s="353" t="s">
        <v>398</v>
      </c>
      <c r="D31" s="352"/>
      <c r="E31" s="354"/>
      <c r="F31" s="354"/>
      <c r="G31" s="355"/>
      <c r="H31" s="382"/>
      <c r="I31" s="382"/>
      <c r="J31" s="362"/>
    </row>
    <row r="32" spans="1:11" s="132" customFormat="1" ht="18.75">
      <c r="A32" s="321" t="s">
        <v>171</v>
      </c>
      <c r="B32" s="321" t="s">
        <v>723</v>
      </c>
      <c r="C32" s="322" t="s">
        <v>508</v>
      </c>
      <c r="D32" s="321" t="s">
        <v>3</v>
      </c>
      <c r="E32" s="323">
        <f>18+4</f>
        <v>22</v>
      </c>
      <c r="F32" s="389">
        <f>J32</f>
        <v>18.08</v>
      </c>
      <c r="G32" s="387">
        <f aca="true" t="shared" si="4" ref="G32:G37">ROUND((F32*1.2977),2)</f>
        <v>23.46</v>
      </c>
      <c r="H32" s="380">
        <f aca="true" t="shared" si="5" ref="H32:H63">ROUND((E32*F32),2)</f>
        <v>397.76</v>
      </c>
      <c r="I32" s="380">
        <f aca="true" t="shared" si="6" ref="I32:I63">ROUND((E32*G32),2)</f>
        <v>516.12</v>
      </c>
      <c r="J32" s="362">
        <v>18.08</v>
      </c>
      <c r="K32" s="357">
        <v>23.46</v>
      </c>
    </row>
    <row r="33" spans="1:11" s="121" customFormat="1" ht="30.75">
      <c r="A33" s="321" t="s">
        <v>172</v>
      </c>
      <c r="B33" s="321" t="s">
        <v>725</v>
      </c>
      <c r="C33" s="322" t="s">
        <v>509</v>
      </c>
      <c r="D33" s="321" t="s">
        <v>1</v>
      </c>
      <c r="E33" s="320">
        <f>1.27+0.28</f>
        <v>1.55</v>
      </c>
      <c r="F33" s="389">
        <f aca="true" t="shared" si="7" ref="F33:F96">J33</f>
        <v>407.62</v>
      </c>
      <c r="G33" s="387">
        <f t="shared" si="4"/>
        <v>528.97</v>
      </c>
      <c r="H33" s="380">
        <f t="shared" si="5"/>
        <v>631.81</v>
      </c>
      <c r="I33" s="380">
        <f t="shared" si="6"/>
        <v>819.9</v>
      </c>
      <c r="J33" s="180">
        <v>407.62</v>
      </c>
      <c r="K33" s="132">
        <v>528.97</v>
      </c>
    </row>
    <row r="34" spans="1:11" s="121" customFormat="1" ht="45.75">
      <c r="A34" s="321" t="s">
        <v>173</v>
      </c>
      <c r="B34" s="321" t="s">
        <v>731</v>
      </c>
      <c r="C34" s="322" t="s">
        <v>510</v>
      </c>
      <c r="D34" s="321" t="s">
        <v>5</v>
      </c>
      <c r="E34" s="320">
        <f>22.07+4.9</f>
        <v>26.97</v>
      </c>
      <c r="F34" s="389">
        <f t="shared" si="7"/>
        <v>3.71</v>
      </c>
      <c r="G34" s="387">
        <f t="shared" si="4"/>
        <v>4.81</v>
      </c>
      <c r="H34" s="380">
        <f t="shared" si="5"/>
        <v>100.06</v>
      </c>
      <c r="I34" s="380">
        <f t="shared" si="6"/>
        <v>129.73</v>
      </c>
      <c r="J34" s="180">
        <v>3.71</v>
      </c>
      <c r="K34" s="121">
        <v>4.81</v>
      </c>
    </row>
    <row r="35" spans="1:11" s="121" customFormat="1" ht="30.75">
      <c r="A35" s="321" t="s">
        <v>174</v>
      </c>
      <c r="B35" s="321" t="s">
        <v>1010</v>
      </c>
      <c r="C35" s="322" t="s">
        <v>511</v>
      </c>
      <c r="D35" s="321" t="s">
        <v>5</v>
      </c>
      <c r="E35" s="320">
        <f>E34</f>
        <v>26.97</v>
      </c>
      <c r="F35" s="389">
        <f t="shared" si="7"/>
        <v>12.08</v>
      </c>
      <c r="G35" s="387">
        <f t="shared" si="4"/>
        <v>15.68</v>
      </c>
      <c r="H35" s="380">
        <f t="shared" si="5"/>
        <v>325.8</v>
      </c>
      <c r="I35" s="380">
        <f t="shared" si="6"/>
        <v>422.89</v>
      </c>
      <c r="J35" s="180">
        <v>12.08</v>
      </c>
      <c r="K35" s="121">
        <v>15.68</v>
      </c>
    </row>
    <row r="36" spans="1:11" s="121" customFormat="1" ht="45.75">
      <c r="A36" s="321" t="s">
        <v>175</v>
      </c>
      <c r="B36" s="321" t="s">
        <v>735</v>
      </c>
      <c r="C36" s="322" t="s">
        <v>512</v>
      </c>
      <c r="D36" s="321" t="s">
        <v>5</v>
      </c>
      <c r="E36" s="323">
        <f>47.4+10.53</f>
        <v>57.93</v>
      </c>
      <c r="F36" s="389">
        <f t="shared" si="7"/>
        <v>3.72</v>
      </c>
      <c r="G36" s="387">
        <f t="shared" si="4"/>
        <v>4.83</v>
      </c>
      <c r="H36" s="380">
        <f t="shared" si="5"/>
        <v>215.5</v>
      </c>
      <c r="I36" s="380">
        <f t="shared" si="6"/>
        <v>279.8</v>
      </c>
      <c r="J36" s="180">
        <v>3.72</v>
      </c>
      <c r="K36" s="121">
        <v>4.83</v>
      </c>
    </row>
    <row r="37" spans="1:11" s="121" customFormat="1" ht="30.75">
      <c r="A37" s="321" t="s">
        <v>176</v>
      </c>
      <c r="B37" s="321" t="s">
        <v>1121</v>
      </c>
      <c r="C37" s="322" t="s">
        <v>513</v>
      </c>
      <c r="D37" s="321" t="s">
        <v>5</v>
      </c>
      <c r="E37" s="323">
        <f>E36</f>
        <v>57.93</v>
      </c>
      <c r="F37" s="389">
        <f t="shared" si="7"/>
        <v>9.18</v>
      </c>
      <c r="G37" s="387">
        <f t="shared" si="4"/>
        <v>11.91</v>
      </c>
      <c r="H37" s="380">
        <f t="shared" si="5"/>
        <v>531.8</v>
      </c>
      <c r="I37" s="380">
        <f t="shared" si="6"/>
        <v>689.95</v>
      </c>
      <c r="J37" s="180">
        <v>9.18</v>
      </c>
      <c r="K37" s="121">
        <v>11.91</v>
      </c>
    </row>
    <row r="38" spans="1:11" s="366" customFormat="1" ht="18.75">
      <c r="A38" s="358" t="s">
        <v>162</v>
      </c>
      <c r="B38" s="358"/>
      <c r="C38" s="364" t="s">
        <v>514</v>
      </c>
      <c r="D38" s="358"/>
      <c r="E38" s="365"/>
      <c r="F38" s="389">
        <f t="shared" si="7"/>
        <v>0</v>
      </c>
      <c r="G38" s="385"/>
      <c r="H38" s="383">
        <f t="shared" si="5"/>
        <v>0</v>
      </c>
      <c r="I38" s="383">
        <f t="shared" si="6"/>
        <v>0</v>
      </c>
      <c r="J38" s="180">
        <v>0</v>
      </c>
      <c r="K38" s="121">
        <v>0</v>
      </c>
    </row>
    <row r="39" spans="1:11" s="177" customFormat="1" ht="30">
      <c r="A39" s="321" t="s">
        <v>177</v>
      </c>
      <c r="B39" s="321" t="s">
        <v>1125</v>
      </c>
      <c r="C39" s="322" t="s">
        <v>437</v>
      </c>
      <c r="D39" s="321" t="s">
        <v>1</v>
      </c>
      <c r="E39" s="320">
        <v>4.75</v>
      </c>
      <c r="F39" s="389">
        <f t="shared" si="7"/>
        <v>31.7</v>
      </c>
      <c r="G39" s="387">
        <f aca="true" t="shared" si="8" ref="G39:G49">ROUND((F39*1.2977),2)</f>
        <v>41.14</v>
      </c>
      <c r="H39" s="380">
        <f t="shared" si="5"/>
        <v>150.58</v>
      </c>
      <c r="I39" s="380">
        <f t="shared" si="6"/>
        <v>195.42</v>
      </c>
      <c r="J39" s="362">
        <v>31.7</v>
      </c>
      <c r="K39" s="366">
        <v>41.14</v>
      </c>
    </row>
    <row r="40" spans="1:11" s="177" customFormat="1" ht="30">
      <c r="A40" s="321" t="s">
        <v>178</v>
      </c>
      <c r="B40" s="324" t="s">
        <v>784</v>
      </c>
      <c r="C40" s="322" t="s">
        <v>785</v>
      </c>
      <c r="D40" s="321" t="s">
        <v>1</v>
      </c>
      <c r="E40" s="320">
        <f>4.75-0.82-0.14</f>
        <v>3.79</v>
      </c>
      <c r="F40" s="389">
        <f t="shared" si="7"/>
        <v>17.14</v>
      </c>
      <c r="G40" s="387">
        <f t="shared" si="8"/>
        <v>22.24</v>
      </c>
      <c r="H40" s="380">
        <f t="shared" si="5"/>
        <v>64.96</v>
      </c>
      <c r="I40" s="380">
        <f t="shared" si="6"/>
        <v>84.29</v>
      </c>
      <c r="J40" s="180">
        <v>17.14</v>
      </c>
      <c r="K40" s="177">
        <v>22.24</v>
      </c>
    </row>
    <row r="41" spans="1:11" s="121" customFormat="1" ht="30">
      <c r="A41" s="321" t="s">
        <v>179</v>
      </c>
      <c r="B41" s="321" t="s">
        <v>1129</v>
      </c>
      <c r="C41" s="322" t="s">
        <v>438</v>
      </c>
      <c r="D41" s="321" t="s">
        <v>0</v>
      </c>
      <c r="E41" s="320">
        <f>10.95+0.24</f>
        <v>11.19</v>
      </c>
      <c r="F41" s="389">
        <f t="shared" si="7"/>
        <v>110.92</v>
      </c>
      <c r="G41" s="387">
        <f t="shared" si="8"/>
        <v>143.94</v>
      </c>
      <c r="H41" s="380">
        <f t="shared" si="5"/>
        <v>1241.19</v>
      </c>
      <c r="I41" s="380">
        <f t="shared" si="6"/>
        <v>1610.69</v>
      </c>
      <c r="J41" s="180">
        <v>110.92</v>
      </c>
      <c r="K41" s="177">
        <v>143.94</v>
      </c>
    </row>
    <row r="42" spans="1:11" s="121" customFormat="1" ht="15.75">
      <c r="A42" s="321" t="s">
        <v>180</v>
      </c>
      <c r="B42" s="321" t="s">
        <v>1145</v>
      </c>
      <c r="C42" s="322" t="s">
        <v>439</v>
      </c>
      <c r="D42" s="321" t="s">
        <v>0</v>
      </c>
      <c r="E42" s="320">
        <f>0.14</f>
        <v>0.14</v>
      </c>
      <c r="F42" s="389">
        <f t="shared" si="7"/>
        <v>21.54</v>
      </c>
      <c r="G42" s="387">
        <f t="shared" si="8"/>
        <v>27.95</v>
      </c>
      <c r="H42" s="380">
        <f t="shared" si="5"/>
        <v>3.02</v>
      </c>
      <c r="I42" s="380">
        <f t="shared" si="6"/>
        <v>3.91</v>
      </c>
      <c r="J42" s="180">
        <v>21.54</v>
      </c>
      <c r="K42" s="121">
        <v>27.95</v>
      </c>
    </row>
    <row r="43" spans="1:11" s="121" customFormat="1" ht="30">
      <c r="A43" s="321" t="s">
        <v>181</v>
      </c>
      <c r="B43" s="321" t="s">
        <v>1011</v>
      </c>
      <c r="C43" s="322" t="s">
        <v>547</v>
      </c>
      <c r="D43" s="321" t="s">
        <v>1</v>
      </c>
      <c r="E43" s="320">
        <f>0.82+0.02</f>
        <v>0.84</v>
      </c>
      <c r="F43" s="389">
        <f t="shared" si="7"/>
        <v>381.95</v>
      </c>
      <c r="G43" s="387">
        <f t="shared" si="8"/>
        <v>495.66</v>
      </c>
      <c r="H43" s="380">
        <f t="shared" si="5"/>
        <v>320.84</v>
      </c>
      <c r="I43" s="380">
        <f t="shared" si="6"/>
        <v>416.35</v>
      </c>
      <c r="J43" s="180">
        <v>381.95</v>
      </c>
      <c r="K43" s="121">
        <v>495.66</v>
      </c>
    </row>
    <row r="44" spans="1:11" s="121" customFormat="1" ht="45.75">
      <c r="A44" s="321" t="s">
        <v>182</v>
      </c>
      <c r="B44" s="321" t="s">
        <v>740</v>
      </c>
      <c r="C44" s="322" t="s">
        <v>515</v>
      </c>
      <c r="D44" s="321" t="s">
        <v>5</v>
      </c>
      <c r="E44" s="320">
        <f>16.49+0.54</f>
        <v>17.029999999999998</v>
      </c>
      <c r="F44" s="389">
        <f t="shared" si="7"/>
        <v>3.97</v>
      </c>
      <c r="G44" s="387">
        <f t="shared" si="8"/>
        <v>5.15</v>
      </c>
      <c r="H44" s="380">
        <f t="shared" si="5"/>
        <v>67.61</v>
      </c>
      <c r="I44" s="380">
        <f t="shared" si="6"/>
        <v>87.7</v>
      </c>
      <c r="J44" s="180">
        <v>3.97</v>
      </c>
      <c r="K44" s="121">
        <v>5.15</v>
      </c>
    </row>
    <row r="45" spans="1:11" s="121" customFormat="1" ht="15.75">
      <c r="A45" s="321" t="s">
        <v>183</v>
      </c>
      <c r="B45" s="321" t="s">
        <v>1012</v>
      </c>
      <c r="C45" s="322" t="s">
        <v>440</v>
      </c>
      <c r="D45" s="321" t="s">
        <v>5</v>
      </c>
      <c r="E45" s="320">
        <f>E44</f>
        <v>17.029999999999998</v>
      </c>
      <c r="F45" s="389">
        <f t="shared" si="7"/>
        <v>14.24</v>
      </c>
      <c r="G45" s="387">
        <f t="shared" si="8"/>
        <v>18.48</v>
      </c>
      <c r="H45" s="380">
        <f t="shared" si="5"/>
        <v>242.51</v>
      </c>
      <c r="I45" s="380">
        <f t="shared" si="6"/>
        <v>314.71</v>
      </c>
      <c r="J45" s="180">
        <v>14.24</v>
      </c>
      <c r="K45" s="121">
        <v>18.48</v>
      </c>
    </row>
    <row r="46" spans="1:11" s="121" customFormat="1" ht="45.75">
      <c r="A46" s="321" t="s">
        <v>184</v>
      </c>
      <c r="B46" s="324" t="s">
        <v>735</v>
      </c>
      <c r="C46" s="322" t="s">
        <v>516</v>
      </c>
      <c r="D46" s="321" t="s">
        <v>5</v>
      </c>
      <c r="E46" s="320">
        <v>78.81</v>
      </c>
      <c r="F46" s="389">
        <f t="shared" si="7"/>
        <v>3.72</v>
      </c>
      <c r="G46" s="387">
        <f t="shared" si="8"/>
        <v>4.83</v>
      </c>
      <c r="H46" s="380">
        <f t="shared" si="5"/>
        <v>293.17</v>
      </c>
      <c r="I46" s="380">
        <f t="shared" si="6"/>
        <v>380.65</v>
      </c>
      <c r="J46" s="180">
        <v>3.72</v>
      </c>
      <c r="K46" s="121">
        <v>4.83</v>
      </c>
    </row>
    <row r="47" spans="1:11" s="121" customFormat="1" ht="30">
      <c r="A47" s="321" t="s">
        <v>185</v>
      </c>
      <c r="B47" s="321" t="s">
        <v>1013</v>
      </c>
      <c r="C47" s="322" t="s">
        <v>441</v>
      </c>
      <c r="D47" s="321" t="s">
        <v>5</v>
      </c>
      <c r="E47" s="320">
        <v>78.81</v>
      </c>
      <c r="F47" s="389">
        <f t="shared" si="7"/>
        <v>8.08</v>
      </c>
      <c r="G47" s="387">
        <f t="shared" si="8"/>
        <v>10.49</v>
      </c>
      <c r="H47" s="380">
        <f t="shared" si="5"/>
        <v>636.78</v>
      </c>
      <c r="I47" s="380">
        <f t="shared" si="6"/>
        <v>826.72</v>
      </c>
      <c r="J47" s="180">
        <v>8.08</v>
      </c>
      <c r="K47" s="121">
        <v>10.49</v>
      </c>
    </row>
    <row r="48" spans="1:11" s="121" customFormat="1" ht="45.75">
      <c r="A48" s="321" t="s">
        <v>188</v>
      </c>
      <c r="B48" s="321" t="s">
        <v>735</v>
      </c>
      <c r="C48" s="322" t="s">
        <v>1162</v>
      </c>
      <c r="D48" s="321" t="s">
        <v>5</v>
      </c>
      <c r="E48" s="323">
        <v>2.23</v>
      </c>
      <c r="F48" s="389">
        <f t="shared" si="7"/>
        <v>3.72</v>
      </c>
      <c r="G48" s="387">
        <f t="shared" si="8"/>
        <v>4.83</v>
      </c>
      <c r="H48" s="380">
        <f t="shared" si="5"/>
        <v>8.3</v>
      </c>
      <c r="I48" s="380">
        <f t="shared" si="6"/>
        <v>10.77</v>
      </c>
      <c r="J48" s="180">
        <v>3.72</v>
      </c>
      <c r="K48" s="121">
        <v>4.83</v>
      </c>
    </row>
    <row r="49" spans="1:11" s="121" customFormat="1" ht="30.75">
      <c r="A49" s="321" t="s">
        <v>190</v>
      </c>
      <c r="B49" s="321" t="s">
        <v>1121</v>
      </c>
      <c r="C49" s="322" t="s">
        <v>1163</v>
      </c>
      <c r="D49" s="321" t="s">
        <v>5</v>
      </c>
      <c r="E49" s="323">
        <v>2.23</v>
      </c>
      <c r="F49" s="389">
        <f t="shared" si="7"/>
        <v>9.18</v>
      </c>
      <c r="G49" s="387">
        <f t="shared" si="8"/>
        <v>11.91</v>
      </c>
      <c r="H49" s="380">
        <f t="shared" si="5"/>
        <v>20.47</v>
      </c>
      <c r="I49" s="380">
        <f t="shared" si="6"/>
        <v>26.56</v>
      </c>
      <c r="J49" s="180">
        <v>9.18</v>
      </c>
      <c r="K49" s="121">
        <v>11.91</v>
      </c>
    </row>
    <row r="50" spans="1:11" s="369" customFormat="1" ht="18.75">
      <c r="A50" s="367" t="s">
        <v>162</v>
      </c>
      <c r="B50" s="367"/>
      <c r="C50" s="364" t="s">
        <v>189</v>
      </c>
      <c r="D50" s="367"/>
      <c r="E50" s="368"/>
      <c r="F50" s="389">
        <f t="shared" si="7"/>
        <v>0</v>
      </c>
      <c r="G50" s="390"/>
      <c r="H50" s="383">
        <f t="shared" si="5"/>
        <v>0</v>
      </c>
      <c r="I50" s="383">
        <f t="shared" si="6"/>
        <v>0</v>
      </c>
      <c r="J50" s="180"/>
      <c r="K50" s="121">
        <v>0</v>
      </c>
    </row>
    <row r="51" spans="1:11" s="121" customFormat="1" ht="30">
      <c r="A51" s="321" t="s">
        <v>191</v>
      </c>
      <c r="B51" s="321" t="s">
        <v>1014</v>
      </c>
      <c r="C51" s="322" t="s">
        <v>442</v>
      </c>
      <c r="D51" s="321" t="s">
        <v>0</v>
      </c>
      <c r="E51" s="323">
        <f>6+5.04</f>
        <v>11.04</v>
      </c>
      <c r="F51" s="389">
        <f t="shared" si="7"/>
        <v>82.22</v>
      </c>
      <c r="G51" s="387">
        <f aca="true" t="shared" si="9" ref="G51:G82">ROUND((F51*1.2977),2)</f>
        <v>106.7</v>
      </c>
      <c r="H51" s="380">
        <f t="shared" si="5"/>
        <v>907.71</v>
      </c>
      <c r="I51" s="380">
        <f t="shared" si="6"/>
        <v>1177.97</v>
      </c>
      <c r="J51" s="362">
        <v>82.22</v>
      </c>
      <c r="K51" s="369">
        <v>106.7</v>
      </c>
    </row>
    <row r="52" spans="1:11" s="121" customFormat="1" ht="30">
      <c r="A52" s="321" t="s">
        <v>192</v>
      </c>
      <c r="B52" s="321" t="s">
        <v>1015</v>
      </c>
      <c r="C52" s="322" t="s">
        <v>443</v>
      </c>
      <c r="D52" s="321" t="s">
        <v>1</v>
      </c>
      <c r="E52" s="320">
        <f>0.28+0.24</f>
        <v>0.52</v>
      </c>
      <c r="F52" s="389">
        <f t="shared" si="7"/>
        <v>376.33</v>
      </c>
      <c r="G52" s="387">
        <f t="shared" si="9"/>
        <v>488.36</v>
      </c>
      <c r="H52" s="380">
        <f t="shared" si="5"/>
        <v>195.69</v>
      </c>
      <c r="I52" s="380">
        <f t="shared" si="6"/>
        <v>253.95</v>
      </c>
      <c r="J52" s="180">
        <v>376.33</v>
      </c>
      <c r="K52" s="121">
        <v>488.36</v>
      </c>
    </row>
    <row r="53" spans="1:11" s="121" customFormat="1" ht="45.75">
      <c r="A53" s="321" t="s">
        <v>193</v>
      </c>
      <c r="B53" s="321" t="s">
        <v>740</v>
      </c>
      <c r="C53" s="322" t="s">
        <v>515</v>
      </c>
      <c r="D53" s="321" t="s">
        <v>5</v>
      </c>
      <c r="E53" s="320">
        <f>5.93+4.7</f>
        <v>10.629999999999999</v>
      </c>
      <c r="F53" s="389">
        <f t="shared" si="7"/>
        <v>3.97</v>
      </c>
      <c r="G53" s="387">
        <f t="shared" si="9"/>
        <v>5.15</v>
      </c>
      <c r="H53" s="380">
        <f t="shared" si="5"/>
        <v>42.2</v>
      </c>
      <c r="I53" s="380">
        <f t="shared" si="6"/>
        <v>54.74</v>
      </c>
      <c r="J53" s="180">
        <v>3.97</v>
      </c>
      <c r="K53" s="121">
        <v>5.15</v>
      </c>
    </row>
    <row r="54" spans="1:11" s="121" customFormat="1" ht="30">
      <c r="A54" s="321" t="s">
        <v>194</v>
      </c>
      <c r="B54" s="321" t="s">
        <v>1016</v>
      </c>
      <c r="C54" s="322" t="s">
        <v>444</v>
      </c>
      <c r="D54" s="321" t="s">
        <v>5</v>
      </c>
      <c r="E54" s="320">
        <f>E53</f>
        <v>10.629999999999999</v>
      </c>
      <c r="F54" s="389">
        <f t="shared" si="7"/>
        <v>14.25</v>
      </c>
      <c r="G54" s="387">
        <f t="shared" si="9"/>
        <v>18.49</v>
      </c>
      <c r="H54" s="380">
        <f t="shared" si="5"/>
        <v>151.48</v>
      </c>
      <c r="I54" s="380">
        <f t="shared" si="6"/>
        <v>196.55</v>
      </c>
      <c r="J54" s="180">
        <v>14.25</v>
      </c>
      <c r="K54" s="121">
        <v>18.49</v>
      </c>
    </row>
    <row r="55" spans="1:11" s="121" customFormat="1" ht="45.75">
      <c r="A55" s="321" t="s">
        <v>195</v>
      </c>
      <c r="B55" s="324" t="s">
        <v>735</v>
      </c>
      <c r="C55" s="322" t="s">
        <v>517</v>
      </c>
      <c r="D55" s="321" t="s">
        <v>5</v>
      </c>
      <c r="E55" s="320">
        <f>46.15+19.76</f>
        <v>65.91</v>
      </c>
      <c r="F55" s="389">
        <f t="shared" si="7"/>
        <v>3.72</v>
      </c>
      <c r="G55" s="387">
        <f t="shared" si="9"/>
        <v>4.83</v>
      </c>
      <c r="H55" s="380">
        <f t="shared" si="5"/>
        <v>245.19</v>
      </c>
      <c r="I55" s="380">
        <f t="shared" si="6"/>
        <v>318.35</v>
      </c>
      <c r="J55" s="180">
        <v>3.72</v>
      </c>
      <c r="K55" s="121">
        <v>4.83</v>
      </c>
    </row>
    <row r="56" spans="1:11" s="121" customFormat="1" ht="30">
      <c r="A56" s="321" t="s">
        <v>196</v>
      </c>
      <c r="B56" s="321" t="s">
        <v>1017</v>
      </c>
      <c r="C56" s="322" t="s">
        <v>445</v>
      </c>
      <c r="D56" s="321" t="s">
        <v>5</v>
      </c>
      <c r="E56" s="320">
        <f>E55</f>
        <v>65.91</v>
      </c>
      <c r="F56" s="389">
        <f t="shared" si="7"/>
        <v>9.11</v>
      </c>
      <c r="G56" s="387">
        <f t="shared" si="9"/>
        <v>11.82</v>
      </c>
      <c r="H56" s="380">
        <f t="shared" si="5"/>
        <v>600.44</v>
      </c>
      <c r="I56" s="380">
        <f t="shared" si="6"/>
        <v>779.06</v>
      </c>
      <c r="J56" s="180">
        <v>9.11</v>
      </c>
      <c r="K56" s="121">
        <v>11.82</v>
      </c>
    </row>
    <row r="57" spans="1:11" s="369" customFormat="1" ht="18.75">
      <c r="A57" s="367" t="s">
        <v>162</v>
      </c>
      <c r="B57" s="367"/>
      <c r="C57" s="364" t="s">
        <v>197</v>
      </c>
      <c r="D57" s="367"/>
      <c r="E57" s="368"/>
      <c r="F57" s="389">
        <f t="shared" si="7"/>
        <v>0</v>
      </c>
      <c r="G57" s="391">
        <f t="shared" si="9"/>
        <v>0</v>
      </c>
      <c r="H57" s="383">
        <f t="shared" si="5"/>
        <v>0</v>
      </c>
      <c r="I57" s="383">
        <f t="shared" si="6"/>
        <v>0</v>
      </c>
      <c r="J57" s="180"/>
      <c r="K57" s="121">
        <v>0</v>
      </c>
    </row>
    <row r="58" spans="1:11" s="121" customFormat="1" ht="18.75">
      <c r="A58" s="321" t="s">
        <v>198</v>
      </c>
      <c r="B58" s="321" t="s">
        <v>1018</v>
      </c>
      <c r="C58" s="322" t="s">
        <v>446</v>
      </c>
      <c r="D58" s="321" t="s">
        <v>0</v>
      </c>
      <c r="E58" s="320">
        <f>9.63+0.3</f>
        <v>9.930000000000001</v>
      </c>
      <c r="F58" s="389">
        <f t="shared" si="7"/>
        <v>66.01</v>
      </c>
      <c r="G58" s="387">
        <f t="shared" si="9"/>
        <v>85.66</v>
      </c>
      <c r="H58" s="380">
        <f t="shared" si="5"/>
        <v>655.48</v>
      </c>
      <c r="I58" s="380">
        <f t="shared" si="6"/>
        <v>850.6</v>
      </c>
      <c r="J58" s="362">
        <v>66.01</v>
      </c>
      <c r="K58" s="369">
        <v>85.66</v>
      </c>
    </row>
    <row r="59" spans="1:11" s="121" customFormat="1" ht="61.5">
      <c r="A59" s="339" t="s">
        <v>199</v>
      </c>
      <c r="B59" s="324" t="s">
        <v>1184</v>
      </c>
      <c r="C59" s="322" t="s">
        <v>1185</v>
      </c>
      <c r="D59" s="321" t="s">
        <v>1</v>
      </c>
      <c r="E59" s="320">
        <f>0.56+0.02</f>
        <v>0.5800000000000001</v>
      </c>
      <c r="F59" s="389">
        <f t="shared" si="7"/>
        <v>506.17</v>
      </c>
      <c r="G59" s="387">
        <f t="shared" si="9"/>
        <v>656.86</v>
      </c>
      <c r="H59" s="380">
        <f t="shared" si="5"/>
        <v>293.58</v>
      </c>
      <c r="I59" s="380">
        <f t="shared" si="6"/>
        <v>380.98</v>
      </c>
      <c r="J59" s="180">
        <v>506.17</v>
      </c>
      <c r="K59" s="121">
        <v>656.86</v>
      </c>
    </row>
    <row r="60" spans="1:11" s="121" customFormat="1" ht="45.75">
      <c r="A60" s="321" t="s">
        <v>200</v>
      </c>
      <c r="B60" s="321" t="s">
        <v>740</v>
      </c>
      <c r="C60" s="322" t="s">
        <v>518</v>
      </c>
      <c r="D60" s="321" t="s">
        <v>5</v>
      </c>
      <c r="E60" s="320">
        <f>11.71+0.54</f>
        <v>12.25</v>
      </c>
      <c r="F60" s="389">
        <f t="shared" si="7"/>
        <v>3.97</v>
      </c>
      <c r="G60" s="387">
        <f t="shared" si="9"/>
        <v>5.15</v>
      </c>
      <c r="H60" s="380">
        <f t="shared" si="5"/>
        <v>48.63</v>
      </c>
      <c r="I60" s="380">
        <f t="shared" si="6"/>
        <v>63.09</v>
      </c>
      <c r="J60" s="180">
        <v>3.97</v>
      </c>
      <c r="K60" s="121">
        <v>5.15</v>
      </c>
    </row>
    <row r="61" spans="1:11" s="121" customFormat="1" ht="30">
      <c r="A61" s="321" t="s">
        <v>201</v>
      </c>
      <c r="B61" s="321" t="s">
        <v>1016</v>
      </c>
      <c r="C61" s="322" t="s">
        <v>444</v>
      </c>
      <c r="D61" s="321" t="s">
        <v>5</v>
      </c>
      <c r="E61" s="320">
        <f>E60</f>
        <v>12.25</v>
      </c>
      <c r="F61" s="389">
        <f t="shared" si="7"/>
        <v>14.25</v>
      </c>
      <c r="G61" s="387">
        <f t="shared" si="9"/>
        <v>18.49</v>
      </c>
      <c r="H61" s="380">
        <f t="shared" si="5"/>
        <v>174.56</v>
      </c>
      <c r="I61" s="380">
        <f t="shared" si="6"/>
        <v>226.5</v>
      </c>
      <c r="J61" s="180">
        <v>14.25</v>
      </c>
      <c r="K61" s="121">
        <v>18.49</v>
      </c>
    </row>
    <row r="62" spans="1:11" s="121" customFormat="1" ht="45.75">
      <c r="A62" s="321" t="s">
        <v>203</v>
      </c>
      <c r="B62" s="324" t="s">
        <v>735</v>
      </c>
      <c r="C62" s="322" t="s">
        <v>517</v>
      </c>
      <c r="D62" s="321" t="s">
        <v>5</v>
      </c>
      <c r="E62" s="320">
        <f>42.24+2.23</f>
        <v>44.47</v>
      </c>
      <c r="F62" s="389">
        <f t="shared" si="7"/>
        <v>3.72</v>
      </c>
      <c r="G62" s="387">
        <f t="shared" si="9"/>
        <v>4.83</v>
      </c>
      <c r="H62" s="380">
        <f t="shared" si="5"/>
        <v>165.43</v>
      </c>
      <c r="I62" s="380">
        <f t="shared" si="6"/>
        <v>214.79</v>
      </c>
      <c r="J62" s="180">
        <v>3.72</v>
      </c>
      <c r="K62" s="121">
        <v>4.83</v>
      </c>
    </row>
    <row r="63" spans="1:11" s="121" customFormat="1" ht="30">
      <c r="A63" s="321" t="s">
        <v>206</v>
      </c>
      <c r="B63" s="321" t="s">
        <v>1017</v>
      </c>
      <c r="C63" s="322" t="s">
        <v>445</v>
      </c>
      <c r="D63" s="321" t="s">
        <v>5</v>
      </c>
      <c r="E63" s="320">
        <f>E62</f>
        <v>44.47</v>
      </c>
      <c r="F63" s="389">
        <f t="shared" si="7"/>
        <v>9.11</v>
      </c>
      <c r="G63" s="387">
        <f t="shared" si="9"/>
        <v>11.82</v>
      </c>
      <c r="H63" s="380">
        <f t="shared" si="5"/>
        <v>405.12</v>
      </c>
      <c r="I63" s="380">
        <f t="shared" si="6"/>
        <v>525.64</v>
      </c>
      <c r="J63" s="180">
        <v>9.11</v>
      </c>
      <c r="K63" s="121">
        <v>11.82</v>
      </c>
    </row>
    <row r="64" spans="1:11" s="370" customFormat="1" ht="18.75">
      <c r="A64" s="367" t="s">
        <v>162</v>
      </c>
      <c r="B64" s="367"/>
      <c r="C64" s="364" t="s">
        <v>202</v>
      </c>
      <c r="D64" s="367"/>
      <c r="E64" s="368"/>
      <c r="F64" s="389">
        <f t="shared" si="7"/>
        <v>0</v>
      </c>
      <c r="G64" s="391">
        <f t="shared" si="9"/>
        <v>0</v>
      </c>
      <c r="H64" s="383">
        <f aca="true" t="shared" si="10" ref="H64:H95">ROUND((E64*F64),2)</f>
        <v>0</v>
      </c>
      <c r="I64" s="383">
        <f aca="true" t="shared" si="11" ref="I64:I95">ROUND((E64*G64),2)</f>
        <v>0</v>
      </c>
      <c r="J64" s="180"/>
      <c r="K64" s="121">
        <v>0</v>
      </c>
    </row>
    <row r="65" spans="1:11" s="132" customFormat="1" ht="30">
      <c r="A65" s="321" t="s">
        <v>207</v>
      </c>
      <c r="B65" s="321" t="s">
        <v>744</v>
      </c>
      <c r="C65" s="322" t="s">
        <v>447</v>
      </c>
      <c r="D65" s="321" t="s">
        <v>1</v>
      </c>
      <c r="E65" s="320">
        <v>2.86</v>
      </c>
      <c r="F65" s="389">
        <f t="shared" si="7"/>
        <v>303.89</v>
      </c>
      <c r="G65" s="387">
        <f t="shared" si="9"/>
        <v>394.36</v>
      </c>
      <c r="H65" s="380">
        <f t="shared" si="10"/>
        <v>869.13</v>
      </c>
      <c r="I65" s="380">
        <f t="shared" si="11"/>
        <v>1127.87</v>
      </c>
      <c r="J65" s="362">
        <v>303.89</v>
      </c>
      <c r="K65" s="370">
        <v>394.36</v>
      </c>
    </row>
    <row r="66" spans="1:11" s="132" customFormat="1" ht="45">
      <c r="A66" s="321" t="s">
        <v>208</v>
      </c>
      <c r="B66" s="321" t="s">
        <v>752</v>
      </c>
      <c r="C66" s="322" t="s">
        <v>448</v>
      </c>
      <c r="D66" s="321" t="s">
        <v>1</v>
      </c>
      <c r="E66" s="320">
        <v>49.81</v>
      </c>
      <c r="F66" s="389">
        <f t="shared" si="7"/>
        <v>425.7</v>
      </c>
      <c r="G66" s="387">
        <f t="shared" si="9"/>
        <v>552.43</v>
      </c>
      <c r="H66" s="380">
        <f t="shared" si="10"/>
        <v>21204.12</v>
      </c>
      <c r="I66" s="380">
        <f t="shared" si="11"/>
        <v>27516.54</v>
      </c>
      <c r="J66" s="180">
        <v>425.7</v>
      </c>
      <c r="K66" s="132">
        <v>552.43</v>
      </c>
    </row>
    <row r="67" spans="1:11" s="132" customFormat="1" ht="45">
      <c r="A67" s="321" t="s">
        <v>212</v>
      </c>
      <c r="B67" s="321" t="s">
        <v>764</v>
      </c>
      <c r="C67" s="322" t="s">
        <v>519</v>
      </c>
      <c r="D67" s="321" t="s">
        <v>0</v>
      </c>
      <c r="E67" s="320">
        <v>268.02</v>
      </c>
      <c r="F67" s="389">
        <f t="shared" si="7"/>
        <v>64.87</v>
      </c>
      <c r="G67" s="387">
        <f t="shared" si="9"/>
        <v>84.18</v>
      </c>
      <c r="H67" s="380">
        <f t="shared" si="10"/>
        <v>17386.46</v>
      </c>
      <c r="I67" s="380">
        <f t="shared" si="11"/>
        <v>22561.92</v>
      </c>
      <c r="J67" s="180">
        <v>64.87</v>
      </c>
      <c r="K67" s="132">
        <v>84.18</v>
      </c>
    </row>
    <row r="68" spans="1:11" s="132" customFormat="1" ht="45.75">
      <c r="A68" s="321" t="s">
        <v>216</v>
      </c>
      <c r="B68" s="321" t="s">
        <v>735</v>
      </c>
      <c r="C68" s="322" t="s">
        <v>520</v>
      </c>
      <c r="D68" s="321" t="s">
        <v>5</v>
      </c>
      <c r="E68" s="320">
        <f>1362.79+239.65+771.88</f>
        <v>2374.32</v>
      </c>
      <c r="F68" s="389">
        <f t="shared" si="7"/>
        <v>3.72</v>
      </c>
      <c r="G68" s="387">
        <f t="shared" si="9"/>
        <v>4.83</v>
      </c>
      <c r="H68" s="380">
        <f t="shared" si="10"/>
        <v>8832.47</v>
      </c>
      <c r="I68" s="380">
        <f t="shared" si="11"/>
        <v>11467.97</v>
      </c>
      <c r="J68" s="180">
        <v>3.72</v>
      </c>
      <c r="K68" s="132">
        <v>4.83</v>
      </c>
    </row>
    <row r="69" spans="1:11" s="132" customFormat="1" ht="45.75">
      <c r="A69" s="321" t="s">
        <v>217</v>
      </c>
      <c r="B69" s="321" t="s">
        <v>769</v>
      </c>
      <c r="C69" s="322" t="s">
        <v>521</v>
      </c>
      <c r="D69" s="321" t="s">
        <v>5</v>
      </c>
      <c r="E69" s="320">
        <v>2626.91</v>
      </c>
      <c r="F69" s="389">
        <f t="shared" si="7"/>
        <v>3.18</v>
      </c>
      <c r="G69" s="387">
        <f t="shared" si="9"/>
        <v>4.13</v>
      </c>
      <c r="H69" s="380">
        <f t="shared" si="10"/>
        <v>8353.57</v>
      </c>
      <c r="I69" s="380">
        <f t="shared" si="11"/>
        <v>10849.14</v>
      </c>
      <c r="J69" s="180">
        <v>3.18</v>
      </c>
      <c r="K69" s="132">
        <v>4.13</v>
      </c>
    </row>
    <row r="70" spans="1:11" s="132" customFormat="1" ht="30">
      <c r="A70" s="321" t="s">
        <v>218</v>
      </c>
      <c r="B70" s="321" t="s">
        <v>774</v>
      </c>
      <c r="C70" s="322" t="s">
        <v>449</v>
      </c>
      <c r="D70" s="321" t="s">
        <v>5</v>
      </c>
      <c r="E70" s="320">
        <f>1362.79+239.65+771.88</f>
        <v>2374.32</v>
      </c>
      <c r="F70" s="389">
        <f t="shared" si="7"/>
        <v>3.22</v>
      </c>
      <c r="G70" s="387">
        <f t="shared" si="9"/>
        <v>4.18</v>
      </c>
      <c r="H70" s="380">
        <f t="shared" si="10"/>
        <v>7645.31</v>
      </c>
      <c r="I70" s="380">
        <f t="shared" si="11"/>
        <v>9924.66</v>
      </c>
      <c r="J70" s="180">
        <v>3.22</v>
      </c>
      <c r="K70" s="132">
        <v>4.18</v>
      </c>
    </row>
    <row r="71" spans="1:11" s="132" customFormat="1" ht="30">
      <c r="A71" s="321" t="s">
        <v>219</v>
      </c>
      <c r="B71" s="321" t="s">
        <v>776</v>
      </c>
      <c r="C71" s="322" t="s">
        <v>548</v>
      </c>
      <c r="D71" s="321" t="s">
        <v>5</v>
      </c>
      <c r="E71" s="320">
        <v>2626.91</v>
      </c>
      <c r="F71" s="389">
        <f t="shared" si="7"/>
        <v>2.76</v>
      </c>
      <c r="G71" s="387">
        <f t="shared" si="9"/>
        <v>3.58</v>
      </c>
      <c r="H71" s="380">
        <f t="shared" si="10"/>
        <v>7250.27</v>
      </c>
      <c r="I71" s="380">
        <f t="shared" si="11"/>
        <v>9404.34</v>
      </c>
      <c r="J71" s="180">
        <v>2.76</v>
      </c>
      <c r="K71" s="132">
        <v>3.58</v>
      </c>
    </row>
    <row r="72" spans="1:11" s="296" customFormat="1" ht="45">
      <c r="A72" s="321" t="s">
        <v>220</v>
      </c>
      <c r="B72" s="321" t="s">
        <v>778</v>
      </c>
      <c r="C72" s="322" t="s">
        <v>450</v>
      </c>
      <c r="D72" s="321" t="s">
        <v>1</v>
      </c>
      <c r="E72" s="320">
        <v>203.7</v>
      </c>
      <c r="F72" s="389">
        <f t="shared" si="7"/>
        <v>15.98</v>
      </c>
      <c r="G72" s="387">
        <f t="shared" si="9"/>
        <v>20.74</v>
      </c>
      <c r="H72" s="380">
        <f t="shared" si="10"/>
        <v>3255.13</v>
      </c>
      <c r="I72" s="380">
        <f t="shared" si="11"/>
        <v>4224.74</v>
      </c>
      <c r="J72" s="180">
        <v>15.98</v>
      </c>
      <c r="K72" s="132">
        <v>20.74</v>
      </c>
    </row>
    <row r="73" spans="1:11" s="121" customFormat="1" ht="30">
      <c r="A73" s="321" t="s">
        <v>221</v>
      </c>
      <c r="B73" s="324" t="s">
        <v>784</v>
      </c>
      <c r="C73" s="322" t="s">
        <v>549</v>
      </c>
      <c r="D73" s="321" t="s">
        <v>1</v>
      </c>
      <c r="E73" s="320">
        <v>191.53</v>
      </c>
      <c r="F73" s="389">
        <f t="shared" si="7"/>
        <v>17.14</v>
      </c>
      <c r="G73" s="387">
        <f t="shared" si="9"/>
        <v>22.24</v>
      </c>
      <c r="H73" s="380">
        <f t="shared" si="10"/>
        <v>3282.82</v>
      </c>
      <c r="I73" s="380">
        <f t="shared" si="11"/>
        <v>4259.63</v>
      </c>
      <c r="J73" s="180">
        <v>17.14</v>
      </c>
      <c r="K73" s="296">
        <v>22.24</v>
      </c>
    </row>
    <row r="74" spans="1:11" s="132" customFormat="1" ht="30">
      <c r="A74" s="321" t="s">
        <v>223</v>
      </c>
      <c r="B74" s="321" t="s">
        <v>1019</v>
      </c>
      <c r="C74" s="322" t="s">
        <v>451</v>
      </c>
      <c r="D74" s="321" t="s">
        <v>1</v>
      </c>
      <c r="E74" s="320">
        <v>56.73</v>
      </c>
      <c r="F74" s="389">
        <f t="shared" si="7"/>
        <v>4.52</v>
      </c>
      <c r="G74" s="387">
        <f t="shared" si="9"/>
        <v>5.87</v>
      </c>
      <c r="H74" s="380">
        <f t="shared" si="10"/>
        <v>256.42</v>
      </c>
      <c r="I74" s="380">
        <f t="shared" si="11"/>
        <v>333.01</v>
      </c>
      <c r="J74" s="180">
        <v>4.52</v>
      </c>
      <c r="K74" s="121">
        <v>5.87</v>
      </c>
    </row>
    <row r="75" spans="1:11" s="167" customFormat="1" ht="45">
      <c r="A75" s="518" t="s">
        <v>224</v>
      </c>
      <c r="B75" s="518" t="s">
        <v>222</v>
      </c>
      <c r="C75" s="519" t="s">
        <v>522</v>
      </c>
      <c r="D75" s="518" t="s">
        <v>1</v>
      </c>
      <c r="E75" s="520">
        <v>70.47</v>
      </c>
      <c r="F75" s="389">
        <f t="shared" si="7"/>
        <v>51.05</v>
      </c>
      <c r="G75" s="521">
        <f t="shared" si="9"/>
        <v>66.25</v>
      </c>
      <c r="H75" s="522">
        <f t="shared" si="10"/>
        <v>3597.49</v>
      </c>
      <c r="I75" s="522">
        <f t="shared" si="11"/>
        <v>4668.64</v>
      </c>
      <c r="J75" s="180">
        <v>51.05</v>
      </c>
      <c r="K75" s="132">
        <v>66.25</v>
      </c>
    </row>
    <row r="76" spans="1:11" s="132" customFormat="1" ht="49.5" customHeight="1">
      <c r="A76" s="321" t="s">
        <v>225</v>
      </c>
      <c r="B76" s="321" t="s">
        <v>802</v>
      </c>
      <c r="C76" s="322" t="s">
        <v>452</v>
      </c>
      <c r="D76" s="321" t="s">
        <v>1</v>
      </c>
      <c r="E76" s="320">
        <v>70.47</v>
      </c>
      <c r="F76" s="389">
        <f t="shared" si="7"/>
        <v>23.86</v>
      </c>
      <c r="G76" s="387">
        <f t="shared" si="9"/>
        <v>30.96</v>
      </c>
      <c r="H76" s="380">
        <f t="shared" si="10"/>
        <v>1681.41</v>
      </c>
      <c r="I76" s="380">
        <f t="shared" si="11"/>
        <v>2181.75</v>
      </c>
      <c r="J76" s="459">
        <v>23.86</v>
      </c>
      <c r="K76" s="517">
        <v>30.96</v>
      </c>
    </row>
    <row r="77" spans="1:11" s="132" customFormat="1" ht="15.75">
      <c r="A77" s="321" t="s">
        <v>228</v>
      </c>
      <c r="B77" s="321" t="s">
        <v>1020</v>
      </c>
      <c r="C77" s="322" t="s">
        <v>453</v>
      </c>
      <c r="D77" s="321" t="s">
        <v>0</v>
      </c>
      <c r="E77" s="320">
        <v>153.99</v>
      </c>
      <c r="F77" s="389">
        <f t="shared" si="7"/>
        <v>10.35</v>
      </c>
      <c r="G77" s="387">
        <f t="shared" si="9"/>
        <v>13.43</v>
      </c>
      <c r="H77" s="380">
        <f t="shared" si="10"/>
        <v>1593.8</v>
      </c>
      <c r="I77" s="380">
        <f t="shared" si="11"/>
        <v>2068.09</v>
      </c>
      <c r="J77" s="180">
        <v>10.35</v>
      </c>
      <c r="K77" s="132">
        <v>13.43</v>
      </c>
    </row>
    <row r="78" spans="1:11" s="132" customFormat="1" ht="45.75">
      <c r="A78" s="321" t="s">
        <v>229</v>
      </c>
      <c r="B78" s="321" t="s">
        <v>812</v>
      </c>
      <c r="C78" s="322" t="s">
        <v>523</v>
      </c>
      <c r="D78" s="321" t="s">
        <v>0</v>
      </c>
      <c r="E78" s="320">
        <v>90.59</v>
      </c>
      <c r="F78" s="389">
        <f t="shared" si="7"/>
        <v>55.64</v>
      </c>
      <c r="G78" s="387">
        <f t="shared" si="9"/>
        <v>72.2</v>
      </c>
      <c r="H78" s="380">
        <f t="shared" si="10"/>
        <v>5040.43</v>
      </c>
      <c r="I78" s="380">
        <f t="shared" si="11"/>
        <v>6540.6</v>
      </c>
      <c r="J78" s="180">
        <v>55.64</v>
      </c>
      <c r="K78" s="132">
        <v>72.2</v>
      </c>
    </row>
    <row r="79" spans="1:11" s="132" customFormat="1" ht="15.75">
      <c r="A79" s="321" t="s">
        <v>230</v>
      </c>
      <c r="B79" s="321" t="s">
        <v>815</v>
      </c>
      <c r="C79" s="322" t="s">
        <v>454</v>
      </c>
      <c r="D79" s="321" t="s">
        <v>1</v>
      </c>
      <c r="E79" s="320">
        <v>17.2</v>
      </c>
      <c r="F79" s="389">
        <f t="shared" si="7"/>
        <v>116.02</v>
      </c>
      <c r="G79" s="387">
        <f t="shared" si="9"/>
        <v>150.56</v>
      </c>
      <c r="H79" s="380">
        <f t="shared" si="10"/>
        <v>1995.54</v>
      </c>
      <c r="I79" s="380">
        <f t="shared" si="11"/>
        <v>2589.63</v>
      </c>
      <c r="J79" s="180">
        <v>116.02</v>
      </c>
      <c r="K79" s="132">
        <v>150.56</v>
      </c>
    </row>
    <row r="80" spans="1:11" s="132" customFormat="1" ht="15.75">
      <c r="A80" s="321" t="s">
        <v>231</v>
      </c>
      <c r="B80" s="321" t="s">
        <v>1021</v>
      </c>
      <c r="C80" s="322" t="s">
        <v>524</v>
      </c>
      <c r="D80" s="321" t="s">
        <v>3</v>
      </c>
      <c r="E80" s="320">
        <v>16.09</v>
      </c>
      <c r="F80" s="389">
        <f t="shared" si="7"/>
        <v>49.84</v>
      </c>
      <c r="G80" s="387">
        <f t="shared" si="9"/>
        <v>64.68</v>
      </c>
      <c r="H80" s="380">
        <f t="shared" si="10"/>
        <v>801.93</v>
      </c>
      <c r="I80" s="380">
        <f t="shared" si="11"/>
        <v>1040.7</v>
      </c>
      <c r="J80" s="180">
        <v>49.84</v>
      </c>
      <c r="K80" s="132">
        <v>64.68</v>
      </c>
    </row>
    <row r="81" spans="1:11" s="132" customFormat="1" ht="15.75">
      <c r="A81" s="321" t="s">
        <v>233</v>
      </c>
      <c r="B81" s="321" t="s">
        <v>1022</v>
      </c>
      <c r="C81" s="322" t="s">
        <v>525</v>
      </c>
      <c r="D81" s="321" t="s">
        <v>3</v>
      </c>
      <c r="E81" s="320">
        <v>9.05</v>
      </c>
      <c r="F81" s="389">
        <f t="shared" si="7"/>
        <v>18.3</v>
      </c>
      <c r="G81" s="387">
        <f t="shared" si="9"/>
        <v>23.75</v>
      </c>
      <c r="H81" s="380">
        <f t="shared" si="10"/>
        <v>165.62</v>
      </c>
      <c r="I81" s="380">
        <f t="shared" si="11"/>
        <v>214.94</v>
      </c>
      <c r="J81" s="180">
        <v>18.3</v>
      </c>
      <c r="K81" s="132">
        <v>23.75</v>
      </c>
    </row>
    <row r="82" spans="1:11" s="132" customFormat="1" ht="30.75">
      <c r="A82" s="321" t="s">
        <v>234</v>
      </c>
      <c r="B82" s="321" t="s">
        <v>817</v>
      </c>
      <c r="C82" s="322" t="s">
        <v>526</v>
      </c>
      <c r="D82" s="321" t="s">
        <v>3</v>
      </c>
      <c r="E82" s="320">
        <v>15.5</v>
      </c>
      <c r="F82" s="389">
        <f t="shared" si="7"/>
        <v>38.88</v>
      </c>
      <c r="G82" s="387">
        <f t="shared" si="9"/>
        <v>50.45</v>
      </c>
      <c r="H82" s="380">
        <f t="shared" si="10"/>
        <v>602.64</v>
      </c>
      <c r="I82" s="380">
        <f t="shared" si="11"/>
        <v>781.98</v>
      </c>
      <c r="J82" s="180">
        <v>38.88</v>
      </c>
      <c r="K82" s="132">
        <v>50.45</v>
      </c>
    </row>
    <row r="83" spans="1:11" s="132" customFormat="1" ht="30">
      <c r="A83" s="321" t="s">
        <v>237</v>
      </c>
      <c r="B83" s="321" t="s">
        <v>725</v>
      </c>
      <c r="C83" s="322" t="s">
        <v>527</v>
      </c>
      <c r="D83" s="321" t="s">
        <v>1</v>
      </c>
      <c r="E83" s="320">
        <v>0.13</v>
      </c>
      <c r="F83" s="389">
        <f t="shared" si="7"/>
        <v>407.62</v>
      </c>
      <c r="G83" s="387">
        <f aca="true" t="shared" si="12" ref="G83:G109">ROUND((F83*1.2977),2)</f>
        <v>528.97</v>
      </c>
      <c r="H83" s="380">
        <f t="shared" si="10"/>
        <v>52.99</v>
      </c>
      <c r="I83" s="380">
        <f t="shared" si="11"/>
        <v>68.77</v>
      </c>
      <c r="J83" s="180">
        <v>407.62</v>
      </c>
      <c r="K83" s="132">
        <v>528.97</v>
      </c>
    </row>
    <row r="84" spans="1:11" s="132" customFormat="1" ht="45.75">
      <c r="A84" s="321" t="s">
        <v>241</v>
      </c>
      <c r="B84" s="321" t="s">
        <v>824</v>
      </c>
      <c r="C84" s="322" t="s">
        <v>582</v>
      </c>
      <c r="D84" s="321" t="s">
        <v>0</v>
      </c>
      <c r="E84" s="320">
        <v>245.7</v>
      </c>
      <c r="F84" s="389">
        <f t="shared" si="7"/>
        <v>53</v>
      </c>
      <c r="G84" s="387">
        <f t="shared" si="12"/>
        <v>68.78</v>
      </c>
      <c r="H84" s="380">
        <f t="shared" si="10"/>
        <v>13022.1</v>
      </c>
      <c r="I84" s="380">
        <f t="shared" si="11"/>
        <v>16899.25</v>
      </c>
      <c r="J84" s="180">
        <v>53</v>
      </c>
      <c r="K84" s="132">
        <v>68.78</v>
      </c>
    </row>
    <row r="85" spans="1:11" s="132" customFormat="1" ht="45">
      <c r="A85" s="321" t="s">
        <v>242</v>
      </c>
      <c r="B85" s="321" t="s">
        <v>1023</v>
      </c>
      <c r="C85" s="322" t="s">
        <v>581</v>
      </c>
      <c r="D85" s="321" t="s">
        <v>14</v>
      </c>
      <c r="E85" s="323">
        <v>1</v>
      </c>
      <c r="F85" s="389">
        <f t="shared" si="7"/>
        <v>1619.14</v>
      </c>
      <c r="G85" s="387">
        <f t="shared" si="12"/>
        <v>2101.16</v>
      </c>
      <c r="H85" s="380">
        <f t="shared" si="10"/>
        <v>1619.14</v>
      </c>
      <c r="I85" s="380">
        <f t="shared" si="11"/>
        <v>2101.16</v>
      </c>
      <c r="J85" s="180">
        <v>1619.14</v>
      </c>
      <c r="K85" s="132">
        <v>2101.16</v>
      </c>
    </row>
    <row r="86" spans="1:11" s="132" customFormat="1" ht="60.75">
      <c r="A86" s="321" t="s">
        <v>245</v>
      </c>
      <c r="B86" s="321" t="s">
        <v>845</v>
      </c>
      <c r="C86" s="322" t="s">
        <v>550</v>
      </c>
      <c r="D86" s="321" t="s">
        <v>14</v>
      </c>
      <c r="E86" s="323">
        <v>1</v>
      </c>
      <c r="F86" s="389">
        <f t="shared" si="7"/>
        <v>303.72</v>
      </c>
      <c r="G86" s="387">
        <f t="shared" si="12"/>
        <v>394.14</v>
      </c>
      <c r="H86" s="380">
        <f t="shared" si="10"/>
        <v>303.72</v>
      </c>
      <c r="I86" s="380">
        <f t="shared" si="11"/>
        <v>394.14</v>
      </c>
      <c r="J86" s="180">
        <v>303.72</v>
      </c>
      <c r="K86" s="132">
        <v>394.14</v>
      </c>
    </row>
    <row r="87" spans="1:11" s="132" customFormat="1" ht="30.75">
      <c r="A87" s="321" t="s">
        <v>246</v>
      </c>
      <c r="B87" s="321" t="s">
        <v>848</v>
      </c>
      <c r="C87" s="322" t="s">
        <v>551</v>
      </c>
      <c r="D87" s="321" t="s">
        <v>3</v>
      </c>
      <c r="E87" s="323">
        <v>4.9</v>
      </c>
      <c r="F87" s="389">
        <f t="shared" si="7"/>
        <v>137.74</v>
      </c>
      <c r="G87" s="387">
        <f t="shared" si="12"/>
        <v>178.75</v>
      </c>
      <c r="H87" s="380">
        <f t="shared" si="10"/>
        <v>674.93</v>
      </c>
      <c r="I87" s="380">
        <f t="shared" si="11"/>
        <v>875.88</v>
      </c>
      <c r="J87" s="180">
        <v>137.74</v>
      </c>
      <c r="K87" s="132">
        <v>178.75</v>
      </c>
    </row>
    <row r="88" spans="1:11" s="132" customFormat="1" ht="45">
      <c r="A88" s="321" t="s">
        <v>248</v>
      </c>
      <c r="B88" s="321" t="s">
        <v>851</v>
      </c>
      <c r="C88" s="322" t="s">
        <v>1239</v>
      </c>
      <c r="D88" s="321" t="s">
        <v>3</v>
      </c>
      <c r="E88" s="323">
        <v>4.9</v>
      </c>
      <c r="F88" s="389">
        <f t="shared" si="7"/>
        <v>12.59</v>
      </c>
      <c r="G88" s="387">
        <f t="shared" si="12"/>
        <v>16.34</v>
      </c>
      <c r="H88" s="380">
        <f t="shared" si="10"/>
        <v>61.69</v>
      </c>
      <c r="I88" s="380">
        <f t="shared" si="11"/>
        <v>80.07</v>
      </c>
      <c r="J88" s="180">
        <v>12.59</v>
      </c>
      <c r="K88" s="132">
        <v>16.34</v>
      </c>
    </row>
    <row r="89" spans="1:11" s="132" customFormat="1" ht="60">
      <c r="A89" s="321" t="s">
        <v>249</v>
      </c>
      <c r="B89" s="321" t="s">
        <v>857</v>
      </c>
      <c r="C89" s="322" t="s">
        <v>552</v>
      </c>
      <c r="D89" s="321" t="s">
        <v>3</v>
      </c>
      <c r="E89" s="323">
        <v>19</v>
      </c>
      <c r="F89" s="389">
        <f t="shared" si="7"/>
        <v>89.86</v>
      </c>
      <c r="G89" s="387">
        <f t="shared" si="12"/>
        <v>116.61</v>
      </c>
      <c r="H89" s="380">
        <f t="shared" si="10"/>
        <v>1707.34</v>
      </c>
      <c r="I89" s="380">
        <f t="shared" si="11"/>
        <v>2215.59</v>
      </c>
      <c r="J89" s="180">
        <v>89.86</v>
      </c>
      <c r="K89" s="132">
        <v>116.61</v>
      </c>
    </row>
    <row r="90" spans="1:11" s="132" customFormat="1" ht="75">
      <c r="A90" s="321" t="s">
        <v>251</v>
      </c>
      <c r="B90" s="321" t="s">
        <v>1023</v>
      </c>
      <c r="C90" s="322" t="s">
        <v>591</v>
      </c>
      <c r="D90" s="321" t="s">
        <v>14</v>
      </c>
      <c r="E90" s="323">
        <v>3</v>
      </c>
      <c r="F90" s="389">
        <f t="shared" si="7"/>
        <v>1619.14</v>
      </c>
      <c r="G90" s="387">
        <f t="shared" si="12"/>
        <v>2101.16</v>
      </c>
      <c r="H90" s="380">
        <f t="shared" si="10"/>
        <v>4857.42</v>
      </c>
      <c r="I90" s="380">
        <f t="shared" si="11"/>
        <v>6303.48</v>
      </c>
      <c r="J90" s="180">
        <v>1619.14</v>
      </c>
      <c r="K90" s="132">
        <v>2101.16</v>
      </c>
    </row>
    <row r="91" spans="1:11" s="132" customFormat="1" ht="45">
      <c r="A91" s="321" t="s">
        <v>252</v>
      </c>
      <c r="B91" s="321" t="s">
        <v>862</v>
      </c>
      <c r="C91" s="322" t="s">
        <v>455</v>
      </c>
      <c r="D91" s="321" t="s">
        <v>14</v>
      </c>
      <c r="E91" s="323">
        <v>3</v>
      </c>
      <c r="F91" s="389">
        <f t="shared" si="7"/>
        <v>272.27</v>
      </c>
      <c r="G91" s="387">
        <f t="shared" si="12"/>
        <v>353.32</v>
      </c>
      <c r="H91" s="380">
        <f t="shared" si="10"/>
        <v>816.81</v>
      </c>
      <c r="I91" s="380">
        <f t="shared" si="11"/>
        <v>1059.96</v>
      </c>
      <c r="J91" s="180">
        <v>272.27</v>
      </c>
      <c r="K91" s="132">
        <v>353.32</v>
      </c>
    </row>
    <row r="92" spans="1:11" s="357" customFormat="1" ht="18.75">
      <c r="A92" s="352" t="s">
        <v>162</v>
      </c>
      <c r="B92" s="352"/>
      <c r="C92" s="353" t="s">
        <v>1278</v>
      </c>
      <c r="D92" s="352"/>
      <c r="E92" s="354"/>
      <c r="F92" s="389">
        <f t="shared" si="7"/>
        <v>0</v>
      </c>
      <c r="G92" s="391">
        <f t="shared" si="12"/>
        <v>0</v>
      </c>
      <c r="H92" s="383">
        <f t="shared" si="10"/>
        <v>0</v>
      </c>
      <c r="I92" s="383">
        <f t="shared" si="11"/>
        <v>0</v>
      </c>
      <c r="J92" s="180"/>
      <c r="K92" s="132">
        <v>0</v>
      </c>
    </row>
    <row r="93" spans="1:11" ht="45.75">
      <c r="A93" s="321" t="s">
        <v>253</v>
      </c>
      <c r="B93" s="324" t="s">
        <v>1024</v>
      </c>
      <c r="C93" s="322" t="s">
        <v>566</v>
      </c>
      <c r="D93" s="321" t="s">
        <v>1</v>
      </c>
      <c r="E93" s="320">
        <v>22.72</v>
      </c>
      <c r="F93" s="389">
        <f t="shared" si="7"/>
        <v>346.72</v>
      </c>
      <c r="G93" s="387">
        <f t="shared" si="12"/>
        <v>449.94</v>
      </c>
      <c r="H93" s="380">
        <f t="shared" si="10"/>
        <v>7877.48</v>
      </c>
      <c r="I93" s="380">
        <f t="shared" si="11"/>
        <v>10222.64</v>
      </c>
      <c r="J93" s="362">
        <v>346.72</v>
      </c>
      <c r="K93" s="357">
        <v>449.94</v>
      </c>
    </row>
    <row r="94" spans="1:11" ht="45">
      <c r="A94" s="321" t="s">
        <v>256</v>
      </c>
      <c r="B94" s="324" t="s">
        <v>1027</v>
      </c>
      <c r="C94" s="322" t="s">
        <v>583</v>
      </c>
      <c r="D94" s="321" t="s">
        <v>0</v>
      </c>
      <c r="E94" s="320">
        <v>227.17</v>
      </c>
      <c r="F94" s="389">
        <f t="shared" si="7"/>
        <v>20.94</v>
      </c>
      <c r="G94" s="387">
        <f t="shared" si="12"/>
        <v>27.17</v>
      </c>
      <c r="H94" s="380">
        <f t="shared" si="10"/>
        <v>4756.94</v>
      </c>
      <c r="I94" s="380">
        <f t="shared" si="11"/>
        <v>6172.21</v>
      </c>
      <c r="J94" s="180">
        <v>20.94</v>
      </c>
      <c r="K94">
        <v>27.17</v>
      </c>
    </row>
    <row r="95" spans="1:11" ht="30">
      <c r="A95" s="325" t="s">
        <v>400</v>
      </c>
      <c r="B95" s="326" t="s">
        <v>873</v>
      </c>
      <c r="C95" s="327" t="s">
        <v>399</v>
      </c>
      <c r="D95" s="328" t="s">
        <v>3</v>
      </c>
      <c r="E95" s="328">
        <v>205.27</v>
      </c>
      <c r="F95" s="389">
        <f t="shared" si="7"/>
        <v>11.97</v>
      </c>
      <c r="G95" s="387">
        <f t="shared" si="12"/>
        <v>15.53</v>
      </c>
      <c r="H95" s="380">
        <f t="shared" si="10"/>
        <v>2457.08</v>
      </c>
      <c r="I95" s="380">
        <f t="shared" si="11"/>
        <v>3187.84</v>
      </c>
      <c r="J95" s="180">
        <v>11.97</v>
      </c>
      <c r="K95">
        <v>15.53</v>
      </c>
    </row>
    <row r="96" spans="1:11" ht="15.75">
      <c r="A96" s="325" t="s">
        <v>1164</v>
      </c>
      <c r="B96" s="326" t="s">
        <v>879</v>
      </c>
      <c r="C96" s="327" t="s">
        <v>459</v>
      </c>
      <c r="D96" s="328" t="s">
        <v>3</v>
      </c>
      <c r="E96" s="328">
        <v>205.27</v>
      </c>
      <c r="F96" s="389">
        <f t="shared" si="7"/>
        <v>18.42</v>
      </c>
      <c r="G96" s="387">
        <f t="shared" si="12"/>
        <v>23.9</v>
      </c>
      <c r="H96" s="380">
        <f aca="true" t="shared" si="13" ref="H96:H109">ROUND((E96*F96),2)</f>
        <v>3781.07</v>
      </c>
      <c r="I96" s="380">
        <f aca="true" t="shared" si="14" ref="I96:I109">ROUND((E96*G96),2)</f>
        <v>4905.95</v>
      </c>
      <c r="J96" s="180">
        <v>18.42</v>
      </c>
      <c r="K96">
        <v>23.9</v>
      </c>
    </row>
    <row r="97" spans="1:11" ht="61.5">
      <c r="A97" s="317" t="s">
        <v>1165</v>
      </c>
      <c r="B97" s="317" t="s">
        <v>882</v>
      </c>
      <c r="C97" s="318" t="s">
        <v>1217</v>
      </c>
      <c r="D97" s="316" t="s">
        <v>1</v>
      </c>
      <c r="E97" s="329">
        <v>5.87</v>
      </c>
      <c r="F97" s="389">
        <f aca="true" t="shared" si="15" ref="F97:F109">J97</f>
        <v>337.11</v>
      </c>
      <c r="G97" s="387">
        <f t="shared" si="12"/>
        <v>437.47</v>
      </c>
      <c r="H97" s="380">
        <f t="shared" si="13"/>
        <v>1978.84</v>
      </c>
      <c r="I97" s="380">
        <f t="shared" si="14"/>
        <v>2567.95</v>
      </c>
      <c r="J97" s="180">
        <v>337.11</v>
      </c>
      <c r="K97">
        <v>437.47</v>
      </c>
    </row>
    <row r="98" spans="1:11" s="366" customFormat="1" ht="18.75">
      <c r="A98" s="358" t="s">
        <v>162</v>
      </c>
      <c r="B98" s="358"/>
      <c r="C98" s="364" t="s">
        <v>1176</v>
      </c>
      <c r="D98" s="358"/>
      <c r="E98" s="365"/>
      <c r="F98" s="389">
        <f t="shared" si="15"/>
        <v>0</v>
      </c>
      <c r="G98" s="391">
        <f t="shared" si="12"/>
        <v>0</v>
      </c>
      <c r="H98" s="383">
        <f t="shared" si="13"/>
        <v>0</v>
      </c>
      <c r="I98" s="383">
        <f t="shared" si="14"/>
        <v>0</v>
      </c>
      <c r="J98" s="180"/>
      <c r="K98">
        <v>0</v>
      </c>
    </row>
    <row r="99" spans="1:11" s="177" customFormat="1" ht="45">
      <c r="A99" s="321" t="s">
        <v>1167</v>
      </c>
      <c r="B99" s="321" t="s">
        <v>946</v>
      </c>
      <c r="C99" s="322" t="s">
        <v>947</v>
      </c>
      <c r="D99" s="321" t="s">
        <v>1</v>
      </c>
      <c r="E99" s="320">
        <v>1.94</v>
      </c>
      <c r="F99" s="389">
        <f t="shared" si="15"/>
        <v>43.91</v>
      </c>
      <c r="G99" s="387">
        <f t="shared" si="12"/>
        <v>56.98</v>
      </c>
      <c r="H99" s="380">
        <f t="shared" si="13"/>
        <v>85.19</v>
      </c>
      <c r="I99" s="380">
        <f t="shared" si="14"/>
        <v>110.54</v>
      </c>
      <c r="J99" s="362">
        <v>43.91</v>
      </c>
      <c r="K99" s="366">
        <v>56.98</v>
      </c>
    </row>
    <row r="100" spans="1:11" s="177" customFormat="1" ht="30">
      <c r="A100" s="321" t="s">
        <v>1169</v>
      </c>
      <c r="B100" s="324" t="s">
        <v>784</v>
      </c>
      <c r="C100" s="322" t="s">
        <v>785</v>
      </c>
      <c r="D100" s="321" t="s">
        <v>1</v>
      </c>
      <c r="E100" s="320">
        <v>1.57</v>
      </c>
      <c r="F100" s="389">
        <f t="shared" si="15"/>
        <v>17.14</v>
      </c>
      <c r="G100" s="387">
        <f t="shared" si="12"/>
        <v>22.24</v>
      </c>
      <c r="H100" s="380">
        <f t="shared" si="13"/>
        <v>26.91</v>
      </c>
      <c r="I100" s="380">
        <f t="shared" si="14"/>
        <v>34.92</v>
      </c>
      <c r="J100" s="180">
        <v>17.14</v>
      </c>
      <c r="K100" s="177">
        <v>22.24</v>
      </c>
    </row>
    <row r="101" spans="1:11" s="121" customFormat="1" ht="30">
      <c r="A101" s="321" t="s">
        <v>1170</v>
      </c>
      <c r="B101" s="321" t="s">
        <v>1177</v>
      </c>
      <c r="C101" s="322" t="s">
        <v>1187</v>
      </c>
      <c r="D101" s="321" t="s">
        <v>0</v>
      </c>
      <c r="E101" s="320">
        <v>1.92</v>
      </c>
      <c r="F101" s="389">
        <f t="shared" si="15"/>
        <v>84.82</v>
      </c>
      <c r="G101" s="387">
        <f t="shared" si="12"/>
        <v>110.07</v>
      </c>
      <c r="H101" s="380">
        <f t="shared" si="13"/>
        <v>162.85</v>
      </c>
      <c r="I101" s="380">
        <f t="shared" si="14"/>
        <v>211.33</v>
      </c>
      <c r="J101" s="180">
        <v>84.82</v>
      </c>
      <c r="K101" s="177">
        <v>110.07</v>
      </c>
    </row>
    <row r="102" spans="1:11" s="121" customFormat="1" ht="15.75">
      <c r="A102" s="151" t="s">
        <v>1171</v>
      </c>
      <c r="B102" s="151" t="s">
        <v>1496</v>
      </c>
      <c r="C102" s="145" t="s">
        <v>439</v>
      </c>
      <c r="D102" s="151" t="s">
        <v>0</v>
      </c>
      <c r="E102" s="144">
        <v>0.04</v>
      </c>
      <c r="F102" s="389">
        <f t="shared" si="15"/>
        <v>21.54</v>
      </c>
      <c r="G102" s="493">
        <f t="shared" si="12"/>
        <v>27.95</v>
      </c>
      <c r="H102" s="494">
        <f t="shared" si="13"/>
        <v>0.86</v>
      </c>
      <c r="I102" s="494">
        <f t="shared" si="14"/>
        <v>1.12</v>
      </c>
      <c r="J102" s="180">
        <v>21.54</v>
      </c>
      <c r="K102" s="121">
        <v>27.95</v>
      </c>
    </row>
    <row r="103" spans="1:11" s="121" customFormat="1" ht="45">
      <c r="A103" s="339" t="s">
        <v>1172</v>
      </c>
      <c r="B103" s="324" t="s">
        <v>1184</v>
      </c>
      <c r="C103" s="322" t="s">
        <v>1211</v>
      </c>
      <c r="D103" s="321" t="s">
        <v>1</v>
      </c>
      <c r="E103" s="320">
        <v>0.29</v>
      </c>
      <c r="F103" s="389">
        <f t="shared" si="15"/>
        <v>506.17</v>
      </c>
      <c r="G103" s="387">
        <f t="shared" si="12"/>
        <v>656.86</v>
      </c>
      <c r="H103" s="380">
        <f t="shared" si="13"/>
        <v>146.79</v>
      </c>
      <c r="I103" s="380">
        <f t="shared" si="14"/>
        <v>190.49</v>
      </c>
      <c r="J103" s="180">
        <v>506.17</v>
      </c>
      <c r="K103" s="121">
        <v>656.86</v>
      </c>
    </row>
    <row r="104" spans="1:11" s="121" customFormat="1" ht="45.75">
      <c r="A104" s="321" t="s">
        <v>1173</v>
      </c>
      <c r="B104" s="321" t="s">
        <v>740</v>
      </c>
      <c r="C104" s="322" t="s">
        <v>515</v>
      </c>
      <c r="D104" s="321" t="s">
        <v>5</v>
      </c>
      <c r="E104" s="320">
        <v>1.26</v>
      </c>
      <c r="F104" s="389">
        <f t="shared" si="15"/>
        <v>3.97</v>
      </c>
      <c r="G104" s="387">
        <f t="shared" si="12"/>
        <v>5.15</v>
      </c>
      <c r="H104" s="380">
        <f t="shared" si="13"/>
        <v>5</v>
      </c>
      <c r="I104" s="380">
        <f t="shared" si="14"/>
        <v>6.49</v>
      </c>
      <c r="J104" s="180">
        <v>3.97</v>
      </c>
      <c r="K104" s="121">
        <v>5.15</v>
      </c>
    </row>
    <row r="105" spans="1:11" s="121" customFormat="1" ht="15.75">
      <c r="A105" s="321" t="s">
        <v>1174</v>
      </c>
      <c r="B105" s="321" t="s">
        <v>1178</v>
      </c>
      <c r="C105" s="322" t="s">
        <v>440</v>
      </c>
      <c r="D105" s="321" t="s">
        <v>5</v>
      </c>
      <c r="E105" s="320">
        <f>E104</f>
        <v>1.26</v>
      </c>
      <c r="F105" s="389">
        <f t="shared" si="15"/>
        <v>14.24</v>
      </c>
      <c r="G105" s="387">
        <f t="shared" si="12"/>
        <v>18.48</v>
      </c>
      <c r="H105" s="380">
        <f t="shared" si="13"/>
        <v>17.94</v>
      </c>
      <c r="I105" s="380">
        <f t="shared" si="14"/>
        <v>23.28</v>
      </c>
      <c r="J105" s="180">
        <v>14.24</v>
      </c>
      <c r="K105" s="121">
        <v>18.48</v>
      </c>
    </row>
    <row r="106" spans="1:11" s="121" customFormat="1" ht="45.75">
      <c r="A106" s="321" t="s">
        <v>1175</v>
      </c>
      <c r="B106" s="321" t="s">
        <v>735</v>
      </c>
      <c r="C106" s="322" t="s">
        <v>1162</v>
      </c>
      <c r="D106" s="321" t="s">
        <v>5</v>
      </c>
      <c r="E106" s="323">
        <v>19.71</v>
      </c>
      <c r="F106" s="389">
        <f t="shared" si="15"/>
        <v>3.72</v>
      </c>
      <c r="G106" s="387">
        <f t="shared" si="12"/>
        <v>4.83</v>
      </c>
      <c r="H106" s="380">
        <f t="shared" si="13"/>
        <v>73.32</v>
      </c>
      <c r="I106" s="380">
        <f t="shared" si="14"/>
        <v>95.2</v>
      </c>
      <c r="J106" s="180">
        <v>3.72</v>
      </c>
      <c r="K106" s="121">
        <v>4.83</v>
      </c>
    </row>
    <row r="107" spans="1:11" s="121" customFormat="1" ht="30.75">
      <c r="A107" s="321" t="s">
        <v>1186</v>
      </c>
      <c r="B107" s="321" t="s">
        <v>1121</v>
      </c>
      <c r="C107" s="322" t="s">
        <v>1163</v>
      </c>
      <c r="D107" s="321" t="s">
        <v>5</v>
      </c>
      <c r="E107" s="323">
        <f>E106</f>
        <v>19.71</v>
      </c>
      <c r="F107" s="389">
        <f t="shared" si="15"/>
        <v>9.18</v>
      </c>
      <c r="G107" s="387">
        <f t="shared" si="12"/>
        <v>11.91</v>
      </c>
      <c r="H107" s="380">
        <f t="shared" si="13"/>
        <v>180.94</v>
      </c>
      <c r="I107" s="380">
        <f t="shared" si="14"/>
        <v>234.75</v>
      </c>
      <c r="J107" s="180">
        <v>9.18</v>
      </c>
      <c r="K107" s="121">
        <v>11.91</v>
      </c>
    </row>
    <row r="108" spans="1:11" s="121" customFormat="1" ht="60">
      <c r="A108" s="321" t="s">
        <v>1535</v>
      </c>
      <c r="B108" s="321" t="s">
        <v>1497</v>
      </c>
      <c r="C108" s="322" t="s">
        <v>1498</v>
      </c>
      <c r="D108" s="321" t="s">
        <v>3</v>
      </c>
      <c r="E108" s="323">
        <v>72</v>
      </c>
      <c r="F108" s="389">
        <f t="shared" si="15"/>
        <v>238.87</v>
      </c>
      <c r="G108" s="387">
        <f t="shared" si="12"/>
        <v>309.98</v>
      </c>
      <c r="H108" s="380">
        <f t="shared" si="13"/>
        <v>17198.64</v>
      </c>
      <c r="I108" s="380">
        <f t="shared" si="14"/>
        <v>22318.56</v>
      </c>
      <c r="J108" s="180">
        <v>238.87</v>
      </c>
      <c r="K108" s="121">
        <v>309.98</v>
      </c>
    </row>
    <row r="109" spans="1:11" s="121" customFormat="1" ht="45">
      <c r="A109" s="321" t="s">
        <v>1536</v>
      </c>
      <c r="B109" s="321" t="s">
        <v>1519</v>
      </c>
      <c r="C109" s="322" t="s">
        <v>1520</v>
      </c>
      <c r="D109" s="321" t="s">
        <v>14</v>
      </c>
      <c r="E109" s="323">
        <v>1</v>
      </c>
      <c r="F109" s="389">
        <f t="shared" si="15"/>
        <v>8249.44</v>
      </c>
      <c r="G109" s="387">
        <f t="shared" si="12"/>
        <v>10705.3</v>
      </c>
      <c r="H109" s="380">
        <f t="shared" si="13"/>
        <v>8249.44</v>
      </c>
      <c r="I109" s="380">
        <f t="shared" si="14"/>
        <v>10705.3</v>
      </c>
      <c r="J109" s="180">
        <v>8249.44</v>
      </c>
      <c r="K109" s="121">
        <v>10705.3</v>
      </c>
    </row>
    <row r="110" spans="1:11" s="363" customFormat="1" ht="18.75">
      <c r="A110" s="358" t="s">
        <v>162</v>
      </c>
      <c r="B110" s="358"/>
      <c r="C110" s="359"/>
      <c r="D110" s="358"/>
      <c r="E110" s="360"/>
      <c r="F110" s="360" t="s">
        <v>250</v>
      </c>
      <c r="G110" s="361"/>
      <c r="H110" s="381">
        <f>SUM(H32:H109)</f>
        <v>173067.66000000003</v>
      </c>
      <c r="I110" s="381">
        <f>SUM(I32:I109)</f>
        <v>224601.40000000002</v>
      </c>
      <c r="J110" s="180"/>
      <c r="K110" s="121">
        <v>0</v>
      </c>
    </row>
    <row r="111" spans="1:11" s="357" customFormat="1" ht="18.75">
      <c r="A111" s="352" t="s">
        <v>35</v>
      </c>
      <c r="B111" s="352"/>
      <c r="C111" s="353" t="s">
        <v>1220</v>
      </c>
      <c r="D111" s="352"/>
      <c r="E111" s="354"/>
      <c r="F111" s="354"/>
      <c r="G111" s="355"/>
      <c r="H111" s="382"/>
      <c r="I111" s="382"/>
      <c r="J111" s="180"/>
      <c r="K111" s="121"/>
    </row>
    <row r="112" spans="1:11" ht="46.5">
      <c r="A112" s="317" t="s">
        <v>257</v>
      </c>
      <c r="B112" s="317" t="s">
        <v>1202</v>
      </c>
      <c r="C112" s="318" t="s">
        <v>584</v>
      </c>
      <c r="D112" s="317" t="s">
        <v>0</v>
      </c>
      <c r="E112" s="319">
        <v>81.5</v>
      </c>
      <c r="F112" s="389">
        <f aca="true" t="shared" si="16" ref="F112:F117">J112</f>
        <v>127.47</v>
      </c>
      <c r="G112" s="387">
        <f aca="true" t="shared" si="17" ref="G112:G117">ROUND((F112*1.2977),2)</f>
        <v>165.42</v>
      </c>
      <c r="H112" s="380">
        <f aca="true" t="shared" si="18" ref="H112:H117">ROUND((E112*F112),2)</f>
        <v>10388.81</v>
      </c>
      <c r="I112" s="380">
        <f aca="true" t="shared" si="19" ref="I112:I117">ROUND((E112*G112),2)</f>
        <v>13481.73</v>
      </c>
      <c r="J112" s="362">
        <v>127.47</v>
      </c>
      <c r="K112" s="363">
        <v>165.42</v>
      </c>
    </row>
    <row r="113" spans="1:11" ht="60">
      <c r="A113" s="317" t="s">
        <v>258</v>
      </c>
      <c r="B113" s="317" t="s">
        <v>1203</v>
      </c>
      <c r="C113" s="318" t="s">
        <v>585</v>
      </c>
      <c r="D113" s="317" t="s">
        <v>0</v>
      </c>
      <c r="E113" s="316">
        <v>16.11</v>
      </c>
      <c r="F113" s="389">
        <f t="shared" si="16"/>
        <v>127.47</v>
      </c>
      <c r="G113" s="387">
        <f t="shared" si="17"/>
        <v>165.42</v>
      </c>
      <c r="H113" s="380">
        <f t="shared" si="18"/>
        <v>2053.54</v>
      </c>
      <c r="I113" s="380">
        <f t="shared" si="19"/>
        <v>2664.92</v>
      </c>
      <c r="J113" s="362">
        <v>127.47</v>
      </c>
      <c r="K113" s="357">
        <v>165.42</v>
      </c>
    </row>
    <row r="114" spans="1:11" ht="45">
      <c r="A114" s="317" t="s">
        <v>259</v>
      </c>
      <c r="B114" s="317" t="s">
        <v>898</v>
      </c>
      <c r="C114" s="318" t="s">
        <v>528</v>
      </c>
      <c r="D114" s="317" t="s">
        <v>0</v>
      </c>
      <c r="E114" s="316">
        <v>4.33</v>
      </c>
      <c r="F114" s="389">
        <f t="shared" si="16"/>
        <v>34.14</v>
      </c>
      <c r="G114" s="387">
        <f t="shared" si="17"/>
        <v>44.3</v>
      </c>
      <c r="H114" s="380">
        <f t="shared" si="18"/>
        <v>147.83</v>
      </c>
      <c r="I114" s="380">
        <f t="shared" si="19"/>
        <v>191.82</v>
      </c>
      <c r="J114" s="180">
        <v>34.14</v>
      </c>
      <c r="K114">
        <v>44.3</v>
      </c>
    </row>
    <row r="115" spans="1:11" s="132" customFormat="1" ht="45">
      <c r="A115" s="321" t="s">
        <v>260</v>
      </c>
      <c r="B115" s="321" t="s">
        <v>903</v>
      </c>
      <c r="C115" s="322" t="s">
        <v>464</v>
      </c>
      <c r="D115" s="321" t="s">
        <v>0</v>
      </c>
      <c r="E115" s="323">
        <v>81</v>
      </c>
      <c r="F115" s="389">
        <f t="shared" si="16"/>
        <v>23.81</v>
      </c>
      <c r="G115" s="387">
        <f t="shared" si="17"/>
        <v>30.9</v>
      </c>
      <c r="H115" s="380">
        <f t="shared" si="18"/>
        <v>1928.61</v>
      </c>
      <c r="I115" s="380">
        <f t="shared" si="19"/>
        <v>2502.9</v>
      </c>
      <c r="J115" s="180">
        <v>23.81</v>
      </c>
      <c r="K115">
        <v>30.9</v>
      </c>
    </row>
    <row r="116" spans="1:11" ht="30">
      <c r="A116" s="317" t="s">
        <v>261</v>
      </c>
      <c r="B116" s="317" t="s">
        <v>141</v>
      </c>
      <c r="C116" s="318" t="s">
        <v>465</v>
      </c>
      <c r="D116" s="317" t="s">
        <v>1</v>
      </c>
      <c r="E116" s="316">
        <v>0.31</v>
      </c>
      <c r="F116" s="389">
        <f t="shared" si="16"/>
        <v>367.3</v>
      </c>
      <c r="G116" s="387">
        <f t="shared" si="17"/>
        <v>476.65</v>
      </c>
      <c r="H116" s="380">
        <f t="shared" si="18"/>
        <v>113.86</v>
      </c>
      <c r="I116" s="380">
        <f t="shared" si="19"/>
        <v>147.76</v>
      </c>
      <c r="J116" s="180">
        <v>367.3</v>
      </c>
      <c r="K116">
        <v>476.65</v>
      </c>
    </row>
    <row r="117" spans="1:11" s="157" customFormat="1" ht="30.75">
      <c r="A117" s="321" t="s">
        <v>262</v>
      </c>
      <c r="B117" s="321" t="s">
        <v>394</v>
      </c>
      <c r="C117" s="322" t="s">
        <v>1304</v>
      </c>
      <c r="D117" s="321" t="s">
        <v>263</v>
      </c>
      <c r="E117" s="320">
        <v>9.03</v>
      </c>
      <c r="F117" s="389">
        <f t="shared" si="16"/>
        <v>59.34</v>
      </c>
      <c r="G117" s="387">
        <f t="shared" si="17"/>
        <v>77.01</v>
      </c>
      <c r="H117" s="380">
        <f t="shared" si="18"/>
        <v>535.84</v>
      </c>
      <c r="I117" s="380">
        <f t="shared" si="19"/>
        <v>695.4</v>
      </c>
      <c r="J117" s="180">
        <v>59.34</v>
      </c>
      <c r="K117" s="132">
        <v>77.01</v>
      </c>
    </row>
    <row r="118" spans="1:11" s="363" customFormat="1" ht="18.75">
      <c r="A118" s="358" t="s">
        <v>162</v>
      </c>
      <c r="B118" s="358"/>
      <c r="C118" s="359"/>
      <c r="D118" s="358"/>
      <c r="E118" s="360"/>
      <c r="F118" s="360" t="s">
        <v>264</v>
      </c>
      <c r="G118" s="361"/>
      <c r="H118" s="381">
        <f>SUM(H112:H117)</f>
        <v>15168.49</v>
      </c>
      <c r="I118" s="381">
        <f>SUM(I112:I117)</f>
        <v>19684.53</v>
      </c>
      <c r="J118" s="180"/>
      <c r="K118">
        <v>0</v>
      </c>
    </row>
    <row r="119" spans="1:11" s="371" customFormat="1" ht="18.75">
      <c r="A119" s="352" t="s">
        <v>36</v>
      </c>
      <c r="B119" s="352"/>
      <c r="C119" s="353" t="s">
        <v>1279</v>
      </c>
      <c r="D119" s="352"/>
      <c r="E119" s="354"/>
      <c r="F119" s="354"/>
      <c r="G119" s="355"/>
      <c r="H119" s="382"/>
      <c r="I119" s="382"/>
      <c r="J119" s="180"/>
      <c r="K119"/>
    </row>
    <row r="120" spans="1:11" ht="30">
      <c r="A120" s="317" t="s">
        <v>15</v>
      </c>
      <c r="B120" s="330" t="s">
        <v>133</v>
      </c>
      <c r="C120" s="318" t="s">
        <v>586</v>
      </c>
      <c r="D120" s="317" t="s">
        <v>0</v>
      </c>
      <c r="E120" s="319">
        <v>54.6</v>
      </c>
      <c r="F120" s="388">
        <f>J120</f>
        <v>157.69</v>
      </c>
      <c r="G120" s="387">
        <f aca="true" t="shared" si="20" ref="G120:G128">ROUND((F120*1.2977),2)</f>
        <v>204.63</v>
      </c>
      <c r="H120" s="380">
        <f aca="true" t="shared" si="21" ref="H120:H128">ROUND((E120*F120),2)</f>
        <v>8609.87</v>
      </c>
      <c r="I120" s="380">
        <f aca="true" t="shared" si="22" ref="I120:I128">ROUND((E120*G120),2)</f>
        <v>11172.8</v>
      </c>
      <c r="J120" s="180">
        <v>157.69</v>
      </c>
      <c r="K120" s="157">
        <v>204.63</v>
      </c>
    </row>
    <row r="121" spans="1:11" ht="30">
      <c r="A121" s="317" t="s">
        <v>16</v>
      </c>
      <c r="B121" s="317" t="s">
        <v>910</v>
      </c>
      <c r="C121" s="322" t="s">
        <v>469</v>
      </c>
      <c r="D121" s="317" t="s">
        <v>3</v>
      </c>
      <c r="E121" s="316">
        <v>25.9</v>
      </c>
      <c r="F121" s="388">
        <f aca="true" t="shared" si="23" ref="F121:F128">J121</f>
        <v>75.1</v>
      </c>
      <c r="G121" s="387">
        <f t="shared" si="20"/>
        <v>97.46</v>
      </c>
      <c r="H121" s="380">
        <f t="shared" si="21"/>
        <v>1945.09</v>
      </c>
      <c r="I121" s="380">
        <f t="shared" si="22"/>
        <v>2524.21</v>
      </c>
      <c r="J121" s="362">
        <v>75.1</v>
      </c>
      <c r="K121" s="363">
        <v>97.46</v>
      </c>
    </row>
    <row r="122" spans="1:11" ht="30">
      <c r="A122" s="317" t="s">
        <v>20</v>
      </c>
      <c r="B122" s="317" t="s">
        <v>913</v>
      </c>
      <c r="C122" s="318" t="s">
        <v>563</v>
      </c>
      <c r="D122" s="317" t="s">
        <v>0</v>
      </c>
      <c r="E122" s="316">
        <v>34.4</v>
      </c>
      <c r="F122" s="388">
        <f t="shared" si="23"/>
        <v>31.18</v>
      </c>
      <c r="G122" s="387">
        <f t="shared" si="20"/>
        <v>40.46</v>
      </c>
      <c r="H122" s="380">
        <f t="shared" si="21"/>
        <v>1072.59</v>
      </c>
      <c r="I122" s="380">
        <f t="shared" si="22"/>
        <v>1391.82</v>
      </c>
      <c r="J122" s="362">
        <v>31.18</v>
      </c>
      <c r="K122" s="371">
        <v>40.46</v>
      </c>
    </row>
    <row r="123" spans="1:11" s="167" customFormat="1" ht="30">
      <c r="A123" s="464" t="s">
        <v>137</v>
      </c>
      <c r="B123" s="464" t="s">
        <v>1256</v>
      </c>
      <c r="C123" s="268" t="s">
        <v>1257</v>
      </c>
      <c r="D123" s="464" t="s">
        <v>31</v>
      </c>
      <c r="E123" s="270">
        <v>2</v>
      </c>
      <c r="F123" s="388">
        <f t="shared" si="23"/>
        <v>8.24</v>
      </c>
      <c r="G123" s="457">
        <f t="shared" si="20"/>
        <v>10.69</v>
      </c>
      <c r="H123" s="458">
        <f t="shared" si="21"/>
        <v>16.48</v>
      </c>
      <c r="I123" s="458">
        <f t="shared" si="22"/>
        <v>21.38</v>
      </c>
      <c r="J123" s="180">
        <v>8.24</v>
      </c>
      <c r="K123">
        <v>10.69</v>
      </c>
    </row>
    <row r="124" spans="1:11" s="177" customFormat="1" ht="30.75">
      <c r="A124" s="321" t="s">
        <v>138</v>
      </c>
      <c r="B124" s="321" t="s">
        <v>915</v>
      </c>
      <c r="C124" s="322" t="s">
        <v>529</v>
      </c>
      <c r="D124" s="321" t="s">
        <v>0</v>
      </c>
      <c r="E124" s="323">
        <v>247</v>
      </c>
      <c r="F124" s="388">
        <f t="shared" si="23"/>
        <v>9.79</v>
      </c>
      <c r="G124" s="387">
        <f t="shared" si="20"/>
        <v>12.7</v>
      </c>
      <c r="H124" s="380">
        <f t="shared" si="21"/>
        <v>2418.13</v>
      </c>
      <c r="I124" s="380">
        <f t="shared" si="22"/>
        <v>3136.9</v>
      </c>
      <c r="J124" s="180">
        <v>9.79</v>
      </c>
      <c r="K124">
        <v>12.7</v>
      </c>
    </row>
    <row r="125" spans="1:11" s="176" customFormat="1" ht="45.75">
      <c r="A125" s="321" t="s">
        <v>140</v>
      </c>
      <c r="B125" s="321" t="s">
        <v>918</v>
      </c>
      <c r="C125" s="471" t="s">
        <v>1298</v>
      </c>
      <c r="D125" s="321" t="s">
        <v>0</v>
      </c>
      <c r="E125" s="323">
        <f>2.8*2.9</f>
        <v>8.12</v>
      </c>
      <c r="F125" s="388">
        <f t="shared" si="23"/>
        <v>917.11</v>
      </c>
      <c r="G125" s="387">
        <f t="shared" si="20"/>
        <v>1190.13</v>
      </c>
      <c r="H125" s="380">
        <f t="shared" si="21"/>
        <v>7446.93</v>
      </c>
      <c r="I125" s="380">
        <f t="shared" si="22"/>
        <v>9663.86</v>
      </c>
      <c r="J125" s="180">
        <v>917.11</v>
      </c>
      <c r="K125">
        <v>1190.13</v>
      </c>
    </row>
    <row r="126" spans="1:11" s="176" customFormat="1" ht="60.75">
      <c r="A126" s="321" t="s">
        <v>267</v>
      </c>
      <c r="B126" s="324" t="s">
        <v>1292</v>
      </c>
      <c r="C126" s="322" t="s">
        <v>1291</v>
      </c>
      <c r="D126" s="321" t="s">
        <v>14</v>
      </c>
      <c r="E126" s="323">
        <v>1</v>
      </c>
      <c r="F126" s="388">
        <f t="shared" si="23"/>
        <v>109.39</v>
      </c>
      <c r="G126" s="387">
        <f t="shared" si="20"/>
        <v>141.96</v>
      </c>
      <c r="H126" s="380">
        <f t="shared" si="21"/>
        <v>109.39</v>
      </c>
      <c r="I126" s="380">
        <f t="shared" si="22"/>
        <v>141.96</v>
      </c>
      <c r="J126" s="459">
        <v>109.39</v>
      </c>
      <c r="K126" s="167">
        <v>141.96</v>
      </c>
    </row>
    <row r="127" spans="1:11" s="176" customFormat="1" ht="77.25">
      <c r="A127" s="321" t="s">
        <v>268</v>
      </c>
      <c r="B127" s="324" t="s">
        <v>1204</v>
      </c>
      <c r="C127" s="322" t="s">
        <v>1299</v>
      </c>
      <c r="D127" s="321" t="s">
        <v>263</v>
      </c>
      <c r="E127" s="323">
        <f>1.2*2.8</f>
        <v>3.36</v>
      </c>
      <c r="F127" s="388">
        <f t="shared" si="23"/>
        <v>908.11</v>
      </c>
      <c r="G127" s="387">
        <f t="shared" si="20"/>
        <v>1178.45</v>
      </c>
      <c r="H127" s="380">
        <f t="shared" si="21"/>
        <v>3051.25</v>
      </c>
      <c r="I127" s="380">
        <f t="shared" si="22"/>
        <v>3959.59</v>
      </c>
      <c r="J127" s="180">
        <v>908.11</v>
      </c>
      <c r="K127" s="177">
        <v>1178.45</v>
      </c>
    </row>
    <row r="128" spans="1:11" s="293" customFormat="1" ht="60.75">
      <c r="A128" s="321" t="s">
        <v>425</v>
      </c>
      <c r="B128" s="324" t="s">
        <v>1205</v>
      </c>
      <c r="C128" s="322" t="s">
        <v>587</v>
      </c>
      <c r="D128" s="321" t="s">
        <v>269</v>
      </c>
      <c r="E128" s="323">
        <v>5</v>
      </c>
      <c r="F128" s="388">
        <f t="shared" si="23"/>
        <v>10.36</v>
      </c>
      <c r="G128" s="387">
        <f t="shared" si="20"/>
        <v>13.44</v>
      </c>
      <c r="H128" s="380">
        <f t="shared" si="21"/>
        <v>51.8</v>
      </c>
      <c r="I128" s="380">
        <f t="shared" si="22"/>
        <v>67.2</v>
      </c>
      <c r="J128" s="180">
        <v>10.36</v>
      </c>
      <c r="K128" s="176">
        <v>13.44</v>
      </c>
    </row>
    <row r="129" spans="1:11" s="363" customFormat="1" ht="18.75">
      <c r="A129" s="358" t="s">
        <v>162</v>
      </c>
      <c r="B129" s="358"/>
      <c r="C129" s="359"/>
      <c r="D129" s="358"/>
      <c r="E129" s="360"/>
      <c r="F129" s="360" t="s">
        <v>270</v>
      </c>
      <c r="G129" s="361"/>
      <c r="H129" s="381">
        <f>SUM(H120:H128)</f>
        <v>24721.53</v>
      </c>
      <c r="I129" s="381">
        <f>SUM(I120:I128)</f>
        <v>32079.719999999998</v>
      </c>
      <c r="J129" s="180"/>
      <c r="K129" s="176">
        <v>0</v>
      </c>
    </row>
    <row r="130" spans="1:11" s="371" customFormat="1" ht="18.75">
      <c r="A130" s="352" t="s">
        <v>37</v>
      </c>
      <c r="B130" s="352"/>
      <c r="C130" s="353" t="s">
        <v>38</v>
      </c>
      <c r="D130" s="352"/>
      <c r="E130" s="354"/>
      <c r="F130" s="354"/>
      <c r="G130" s="355"/>
      <c r="H130" s="382"/>
      <c r="I130" s="382"/>
      <c r="J130" s="180"/>
      <c r="K130" s="176"/>
    </row>
    <row r="131" spans="1:11" ht="31.5">
      <c r="A131" s="317" t="s">
        <v>271</v>
      </c>
      <c r="B131" s="317" t="s">
        <v>933</v>
      </c>
      <c r="C131" s="318" t="s">
        <v>530</v>
      </c>
      <c r="D131" s="317" t="s">
        <v>14</v>
      </c>
      <c r="E131" s="319">
        <v>4</v>
      </c>
      <c r="F131" s="392">
        <f>J131</f>
        <v>8.44</v>
      </c>
      <c r="G131" s="387">
        <f aca="true" t="shared" si="24" ref="G131:G152">ROUND((F131*1.2977),2)</f>
        <v>10.95</v>
      </c>
      <c r="H131" s="380">
        <f aca="true" t="shared" si="25" ref="H131:H152">ROUND((E131*F131),2)</f>
        <v>33.76</v>
      </c>
      <c r="I131" s="380">
        <f aca="true" t="shared" si="26" ref="I131:I152">ROUND((E131*G131),2)</f>
        <v>43.8</v>
      </c>
      <c r="J131" s="180">
        <v>8.44</v>
      </c>
      <c r="K131" s="176">
        <v>10.95</v>
      </c>
    </row>
    <row r="132" spans="1:11" ht="31.5">
      <c r="A132" s="317" t="s">
        <v>272</v>
      </c>
      <c r="B132" s="317" t="s">
        <v>936</v>
      </c>
      <c r="C132" s="318" t="s">
        <v>531</v>
      </c>
      <c r="D132" s="317" t="s">
        <v>14</v>
      </c>
      <c r="E132" s="319">
        <v>1</v>
      </c>
      <c r="F132" s="392">
        <f aca="true" t="shared" si="27" ref="F132:F152">J132</f>
        <v>10.65</v>
      </c>
      <c r="G132" s="387">
        <f t="shared" si="24"/>
        <v>13.82</v>
      </c>
      <c r="H132" s="380">
        <f t="shared" si="25"/>
        <v>10.65</v>
      </c>
      <c r="I132" s="380">
        <f t="shared" si="26"/>
        <v>13.82</v>
      </c>
      <c r="J132" s="180">
        <v>10.65</v>
      </c>
      <c r="K132" s="293">
        <v>13.82</v>
      </c>
    </row>
    <row r="133" spans="1:11" s="29" customFormat="1" ht="18.75">
      <c r="A133" s="331" t="s">
        <v>274</v>
      </c>
      <c r="B133" s="332" t="s">
        <v>939</v>
      </c>
      <c r="C133" s="322" t="s">
        <v>1225</v>
      </c>
      <c r="D133" s="332" t="s">
        <v>14</v>
      </c>
      <c r="E133" s="333">
        <v>4</v>
      </c>
      <c r="F133" s="392">
        <f t="shared" si="27"/>
        <v>944.41</v>
      </c>
      <c r="G133" s="387">
        <f t="shared" si="24"/>
        <v>1225.56</v>
      </c>
      <c r="H133" s="384">
        <f t="shared" si="25"/>
        <v>3777.64</v>
      </c>
      <c r="I133" s="380">
        <f t="shared" si="26"/>
        <v>4902.24</v>
      </c>
      <c r="J133" s="362">
        <v>944.41</v>
      </c>
      <c r="K133" s="363">
        <v>1225.56</v>
      </c>
    </row>
    <row r="134" spans="1:11" s="29" customFormat="1" ht="30.75">
      <c r="A134" s="331" t="s">
        <v>276</v>
      </c>
      <c r="B134" s="332" t="s">
        <v>1029</v>
      </c>
      <c r="C134" s="322" t="s">
        <v>532</v>
      </c>
      <c r="D134" s="332" t="s">
        <v>14</v>
      </c>
      <c r="E134" s="333">
        <v>4</v>
      </c>
      <c r="F134" s="392">
        <f t="shared" si="27"/>
        <v>919.32</v>
      </c>
      <c r="G134" s="387">
        <f t="shared" si="24"/>
        <v>1193</v>
      </c>
      <c r="H134" s="384">
        <f t="shared" si="25"/>
        <v>3677.28</v>
      </c>
      <c r="I134" s="380">
        <f t="shared" si="26"/>
        <v>4772</v>
      </c>
      <c r="J134" s="362">
        <v>919.32</v>
      </c>
      <c r="K134" s="371">
        <v>1193</v>
      </c>
    </row>
    <row r="135" spans="1:11" s="29" customFormat="1" ht="30">
      <c r="A135" s="331" t="s">
        <v>280</v>
      </c>
      <c r="B135" s="324" t="s">
        <v>1207</v>
      </c>
      <c r="C135" s="322" t="s">
        <v>277</v>
      </c>
      <c r="D135" s="332" t="s">
        <v>14</v>
      </c>
      <c r="E135" s="333">
        <v>4</v>
      </c>
      <c r="F135" s="392">
        <f t="shared" si="27"/>
        <v>664.12</v>
      </c>
      <c r="G135" s="387">
        <f t="shared" si="24"/>
        <v>861.83</v>
      </c>
      <c r="H135" s="384">
        <f t="shared" si="25"/>
        <v>2656.48</v>
      </c>
      <c r="I135" s="380">
        <f t="shared" si="26"/>
        <v>3447.32</v>
      </c>
      <c r="J135" s="180">
        <v>664.12</v>
      </c>
      <c r="K135">
        <v>861.83</v>
      </c>
    </row>
    <row r="136" spans="1:11" s="29" customFormat="1" ht="31.5">
      <c r="A136" s="331" t="s">
        <v>288</v>
      </c>
      <c r="B136" s="332" t="s">
        <v>1150</v>
      </c>
      <c r="C136" s="322" t="s">
        <v>533</v>
      </c>
      <c r="D136" s="332" t="s">
        <v>14</v>
      </c>
      <c r="E136" s="333">
        <v>4</v>
      </c>
      <c r="F136" s="392">
        <f t="shared" si="27"/>
        <v>171.18</v>
      </c>
      <c r="G136" s="387">
        <f t="shared" si="24"/>
        <v>222.14</v>
      </c>
      <c r="H136" s="384">
        <f t="shared" si="25"/>
        <v>684.72</v>
      </c>
      <c r="I136" s="380">
        <f t="shared" si="26"/>
        <v>888.56</v>
      </c>
      <c r="J136" s="180">
        <v>171.18</v>
      </c>
      <c r="K136">
        <v>222.14</v>
      </c>
    </row>
    <row r="137" spans="1:11" s="29" customFormat="1" ht="31.5">
      <c r="A137" s="331" t="s">
        <v>290</v>
      </c>
      <c r="B137" s="332" t="s">
        <v>1030</v>
      </c>
      <c r="C137" s="322" t="s">
        <v>534</v>
      </c>
      <c r="D137" s="332" t="s">
        <v>1</v>
      </c>
      <c r="E137" s="333">
        <f>0.11*4</f>
        <v>0.44</v>
      </c>
      <c r="F137" s="392">
        <f t="shared" si="27"/>
        <v>43.91</v>
      </c>
      <c r="G137" s="387">
        <f t="shared" si="24"/>
        <v>56.98</v>
      </c>
      <c r="H137" s="384">
        <f t="shared" si="25"/>
        <v>19.32</v>
      </c>
      <c r="I137" s="380">
        <f t="shared" si="26"/>
        <v>25.07</v>
      </c>
      <c r="J137" s="180">
        <v>43.91</v>
      </c>
      <c r="K137" s="29">
        <v>56.98</v>
      </c>
    </row>
    <row r="138" spans="1:11" s="29" customFormat="1" ht="30.75">
      <c r="A138" s="193" t="s">
        <v>291</v>
      </c>
      <c r="B138" s="179">
        <v>94964</v>
      </c>
      <c r="C138" s="145" t="s">
        <v>535</v>
      </c>
      <c r="D138" s="179" t="s">
        <v>1</v>
      </c>
      <c r="E138" s="195">
        <f>0.11*4</f>
        <v>0.44</v>
      </c>
      <c r="F138" s="392">
        <f t="shared" si="27"/>
        <v>291.95</v>
      </c>
      <c r="G138" s="493">
        <f t="shared" si="24"/>
        <v>378.86</v>
      </c>
      <c r="H138" s="495">
        <f t="shared" si="25"/>
        <v>128.46</v>
      </c>
      <c r="I138" s="494">
        <f t="shared" si="26"/>
        <v>166.7</v>
      </c>
      <c r="J138" s="180">
        <v>291.95</v>
      </c>
      <c r="K138" s="29">
        <v>378.86</v>
      </c>
    </row>
    <row r="139" spans="1:11" s="29" customFormat="1" ht="15.75">
      <c r="A139" s="331" t="s">
        <v>293</v>
      </c>
      <c r="B139" s="332" t="s">
        <v>292</v>
      </c>
      <c r="C139" s="322" t="s">
        <v>536</v>
      </c>
      <c r="D139" s="332" t="s">
        <v>1</v>
      </c>
      <c r="E139" s="333">
        <f>0.11*4</f>
        <v>0.44</v>
      </c>
      <c r="F139" s="392">
        <f t="shared" si="27"/>
        <v>127.39</v>
      </c>
      <c r="G139" s="387">
        <f t="shared" si="24"/>
        <v>165.31</v>
      </c>
      <c r="H139" s="384">
        <f t="shared" si="25"/>
        <v>56.05</v>
      </c>
      <c r="I139" s="380">
        <f t="shared" si="26"/>
        <v>72.74</v>
      </c>
      <c r="J139" s="180">
        <v>127.39</v>
      </c>
      <c r="K139" s="29">
        <v>165.31</v>
      </c>
    </row>
    <row r="140" spans="1:11" s="29" customFormat="1" ht="30">
      <c r="A140" s="331" t="s">
        <v>296</v>
      </c>
      <c r="B140" s="332" t="s">
        <v>948</v>
      </c>
      <c r="C140" s="322" t="s">
        <v>294</v>
      </c>
      <c r="D140" s="332" t="s">
        <v>31</v>
      </c>
      <c r="E140" s="333">
        <v>4</v>
      </c>
      <c r="F140" s="392">
        <f t="shared" si="27"/>
        <v>58.91</v>
      </c>
      <c r="G140" s="387">
        <f t="shared" si="24"/>
        <v>76.45</v>
      </c>
      <c r="H140" s="384">
        <f t="shared" si="25"/>
        <v>235.64</v>
      </c>
      <c r="I140" s="380">
        <f t="shared" si="26"/>
        <v>305.8</v>
      </c>
      <c r="J140" s="180">
        <v>58.91</v>
      </c>
      <c r="K140" s="29">
        <v>76.45</v>
      </c>
    </row>
    <row r="141" spans="1:11" s="29" customFormat="1" ht="30.75">
      <c r="A141" s="331" t="s">
        <v>298</v>
      </c>
      <c r="B141" s="332" t="s">
        <v>1031</v>
      </c>
      <c r="C141" s="322" t="s">
        <v>537</v>
      </c>
      <c r="D141" s="332" t="s">
        <v>14</v>
      </c>
      <c r="E141" s="333">
        <v>1</v>
      </c>
      <c r="F141" s="392">
        <f t="shared" si="27"/>
        <v>233.65</v>
      </c>
      <c r="G141" s="387">
        <f t="shared" si="24"/>
        <v>303.21</v>
      </c>
      <c r="H141" s="384">
        <f t="shared" si="25"/>
        <v>233.65</v>
      </c>
      <c r="I141" s="380">
        <f t="shared" si="26"/>
        <v>303.21</v>
      </c>
      <c r="J141" s="180">
        <v>233.65</v>
      </c>
      <c r="K141" s="29">
        <v>303.21</v>
      </c>
    </row>
    <row r="142" spans="1:11" s="29" customFormat="1" ht="15.75">
      <c r="A142" s="331" t="s">
        <v>299</v>
      </c>
      <c r="B142" s="332" t="s">
        <v>1032</v>
      </c>
      <c r="C142" s="322" t="s">
        <v>538</v>
      </c>
      <c r="D142" s="332" t="s">
        <v>14</v>
      </c>
      <c r="E142" s="333">
        <v>1</v>
      </c>
      <c r="F142" s="392">
        <f t="shared" si="27"/>
        <v>13.3</v>
      </c>
      <c r="G142" s="387">
        <f t="shared" si="24"/>
        <v>17.26</v>
      </c>
      <c r="H142" s="384">
        <f t="shared" si="25"/>
        <v>13.3</v>
      </c>
      <c r="I142" s="380">
        <f t="shared" si="26"/>
        <v>17.26</v>
      </c>
      <c r="J142" s="180">
        <v>13.3</v>
      </c>
      <c r="K142" s="29">
        <v>17.26</v>
      </c>
    </row>
    <row r="143" spans="1:11" s="29" customFormat="1" ht="15.75">
      <c r="A143" s="331" t="s">
        <v>300</v>
      </c>
      <c r="B143" s="334" t="s">
        <v>301</v>
      </c>
      <c r="C143" s="322" t="s">
        <v>539</v>
      </c>
      <c r="D143" s="332" t="s">
        <v>14</v>
      </c>
      <c r="E143" s="333">
        <v>2</v>
      </c>
      <c r="F143" s="392">
        <f t="shared" si="27"/>
        <v>54.21</v>
      </c>
      <c r="G143" s="387">
        <f t="shared" si="24"/>
        <v>70.35</v>
      </c>
      <c r="H143" s="384">
        <f t="shared" si="25"/>
        <v>108.42</v>
      </c>
      <c r="I143" s="380">
        <f t="shared" si="26"/>
        <v>140.7</v>
      </c>
      <c r="J143" s="180">
        <v>54.21</v>
      </c>
      <c r="K143" s="29">
        <v>70.35</v>
      </c>
    </row>
    <row r="144" spans="1:11" s="29" customFormat="1" ht="15.75">
      <c r="A144" s="331" t="s">
        <v>304</v>
      </c>
      <c r="B144" s="334" t="s">
        <v>1033</v>
      </c>
      <c r="C144" s="322" t="s">
        <v>540</v>
      </c>
      <c r="D144" s="332" t="s">
        <v>14</v>
      </c>
      <c r="E144" s="333">
        <v>1</v>
      </c>
      <c r="F144" s="392">
        <f t="shared" si="27"/>
        <v>55.77</v>
      </c>
      <c r="G144" s="387">
        <f t="shared" si="24"/>
        <v>72.37</v>
      </c>
      <c r="H144" s="384">
        <f t="shared" si="25"/>
        <v>55.77</v>
      </c>
      <c r="I144" s="380">
        <f t="shared" si="26"/>
        <v>72.37</v>
      </c>
      <c r="J144" s="180">
        <v>55.77</v>
      </c>
      <c r="K144" s="29">
        <v>72.37</v>
      </c>
    </row>
    <row r="145" spans="1:11" s="29" customFormat="1" ht="15.75">
      <c r="A145" s="331" t="s">
        <v>305</v>
      </c>
      <c r="B145" s="334" t="s">
        <v>1034</v>
      </c>
      <c r="C145" s="322" t="s">
        <v>541</v>
      </c>
      <c r="D145" s="332" t="s">
        <v>14</v>
      </c>
      <c r="E145" s="333">
        <v>1</v>
      </c>
      <c r="F145" s="392">
        <f t="shared" si="27"/>
        <v>79.97</v>
      </c>
      <c r="G145" s="387">
        <f t="shared" si="24"/>
        <v>103.78</v>
      </c>
      <c r="H145" s="384">
        <f t="shared" si="25"/>
        <v>79.97</v>
      </c>
      <c r="I145" s="380">
        <f t="shared" si="26"/>
        <v>103.78</v>
      </c>
      <c r="J145" s="180">
        <v>79.97</v>
      </c>
      <c r="K145" s="29">
        <v>103.78</v>
      </c>
    </row>
    <row r="146" spans="1:11" ht="81">
      <c r="A146" s="331" t="s">
        <v>306</v>
      </c>
      <c r="B146" s="330" t="s">
        <v>951</v>
      </c>
      <c r="C146" s="470" t="s">
        <v>1308</v>
      </c>
      <c r="D146" s="317" t="s">
        <v>14</v>
      </c>
      <c r="E146" s="425">
        <v>1</v>
      </c>
      <c r="F146" s="392">
        <f t="shared" si="27"/>
        <v>1918.39</v>
      </c>
      <c r="G146" s="387">
        <f t="shared" si="24"/>
        <v>2489.49</v>
      </c>
      <c r="H146" s="380">
        <f t="shared" si="25"/>
        <v>1918.39</v>
      </c>
      <c r="I146" s="380">
        <f t="shared" si="26"/>
        <v>2489.49</v>
      </c>
      <c r="J146" s="180">
        <v>1918.39</v>
      </c>
      <c r="K146" s="29">
        <v>2489.49</v>
      </c>
    </row>
    <row r="147" spans="1:11" s="29" customFormat="1" ht="15.75">
      <c r="A147" s="331" t="s">
        <v>307</v>
      </c>
      <c r="B147" s="332" t="s">
        <v>1035</v>
      </c>
      <c r="C147" s="322" t="s">
        <v>542</v>
      </c>
      <c r="D147" s="332" t="s">
        <v>14</v>
      </c>
      <c r="E147" s="424">
        <v>1</v>
      </c>
      <c r="F147" s="392">
        <f t="shared" si="27"/>
        <v>48.91</v>
      </c>
      <c r="G147" s="387">
        <f t="shared" si="24"/>
        <v>63.47</v>
      </c>
      <c r="H147" s="384">
        <f t="shared" si="25"/>
        <v>48.91</v>
      </c>
      <c r="I147" s="380">
        <f t="shared" si="26"/>
        <v>63.47</v>
      </c>
      <c r="J147" s="180">
        <v>48.91</v>
      </c>
      <c r="K147" s="29">
        <v>63.47</v>
      </c>
    </row>
    <row r="148" spans="1:11" ht="30.75">
      <c r="A148" s="317" t="s">
        <v>308</v>
      </c>
      <c r="B148" s="317" t="s">
        <v>977</v>
      </c>
      <c r="C148" s="318" t="s">
        <v>543</v>
      </c>
      <c r="D148" s="317" t="s">
        <v>3</v>
      </c>
      <c r="E148" s="425">
        <v>261</v>
      </c>
      <c r="F148" s="392">
        <f t="shared" si="27"/>
        <v>3.11</v>
      </c>
      <c r="G148" s="387">
        <f t="shared" si="24"/>
        <v>4.04</v>
      </c>
      <c r="H148" s="380">
        <f t="shared" si="25"/>
        <v>811.71</v>
      </c>
      <c r="I148" s="380">
        <f t="shared" si="26"/>
        <v>1054.44</v>
      </c>
      <c r="J148" s="180">
        <v>3.11</v>
      </c>
      <c r="K148" s="29">
        <v>4.04</v>
      </c>
    </row>
    <row r="149" spans="1:11" ht="30.75">
      <c r="A149" s="317" t="s">
        <v>310</v>
      </c>
      <c r="B149" s="317" t="s">
        <v>980</v>
      </c>
      <c r="C149" s="318" t="s">
        <v>544</v>
      </c>
      <c r="D149" s="317" t="s">
        <v>3</v>
      </c>
      <c r="E149" s="425">
        <v>10</v>
      </c>
      <c r="F149" s="392">
        <f t="shared" si="27"/>
        <v>5.58</v>
      </c>
      <c r="G149" s="387">
        <f t="shared" si="24"/>
        <v>7.24</v>
      </c>
      <c r="H149" s="380">
        <f t="shared" si="25"/>
        <v>55.8</v>
      </c>
      <c r="I149" s="380">
        <f t="shared" si="26"/>
        <v>72.4</v>
      </c>
      <c r="J149" s="180">
        <v>5.58</v>
      </c>
      <c r="K149" s="29">
        <v>7.24</v>
      </c>
    </row>
    <row r="150" spans="1:11" ht="30.75">
      <c r="A150" s="317" t="s">
        <v>311</v>
      </c>
      <c r="B150" s="317" t="s">
        <v>983</v>
      </c>
      <c r="C150" s="318" t="s">
        <v>545</v>
      </c>
      <c r="D150" s="317" t="s">
        <v>3</v>
      </c>
      <c r="E150" s="425">
        <v>91</v>
      </c>
      <c r="F150" s="392">
        <f t="shared" si="27"/>
        <v>5.26</v>
      </c>
      <c r="G150" s="387">
        <f t="shared" si="24"/>
        <v>6.83</v>
      </c>
      <c r="H150" s="380">
        <f t="shared" si="25"/>
        <v>478.66</v>
      </c>
      <c r="I150" s="380">
        <f t="shared" si="26"/>
        <v>621.53</v>
      </c>
      <c r="J150" s="180">
        <v>5.26</v>
      </c>
      <c r="K150">
        <v>6.83</v>
      </c>
    </row>
    <row r="151" spans="1:11" ht="30.75">
      <c r="A151" s="317" t="s">
        <v>312</v>
      </c>
      <c r="B151" s="317" t="s">
        <v>985</v>
      </c>
      <c r="C151" s="318" t="s">
        <v>546</v>
      </c>
      <c r="D151" s="317" t="s">
        <v>3</v>
      </c>
      <c r="E151" s="425">
        <v>10</v>
      </c>
      <c r="F151" s="392">
        <f t="shared" si="27"/>
        <v>6.78</v>
      </c>
      <c r="G151" s="387">
        <f t="shared" si="24"/>
        <v>8.8</v>
      </c>
      <c r="H151" s="380">
        <f t="shared" si="25"/>
        <v>67.8</v>
      </c>
      <c r="I151" s="380">
        <f t="shared" si="26"/>
        <v>88</v>
      </c>
      <c r="J151" s="180">
        <v>6.78</v>
      </c>
      <c r="K151" s="29">
        <v>8.8</v>
      </c>
    </row>
    <row r="152" spans="1:11" ht="45">
      <c r="A152" s="317" t="s">
        <v>1224</v>
      </c>
      <c r="B152" s="317" t="s">
        <v>1222</v>
      </c>
      <c r="C152" s="318" t="s">
        <v>1223</v>
      </c>
      <c r="D152" s="317" t="s">
        <v>14</v>
      </c>
      <c r="E152" s="425">
        <v>4</v>
      </c>
      <c r="F152" s="392">
        <f t="shared" si="27"/>
        <v>165.31</v>
      </c>
      <c r="G152" s="387">
        <f t="shared" si="24"/>
        <v>214.52</v>
      </c>
      <c r="H152" s="380">
        <f t="shared" si="25"/>
        <v>661.24</v>
      </c>
      <c r="I152" s="380">
        <f t="shared" si="26"/>
        <v>858.08</v>
      </c>
      <c r="J152" s="180">
        <v>165.31</v>
      </c>
      <c r="K152">
        <v>214.52</v>
      </c>
    </row>
    <row r="153" spans="1:11" s="363" customFormat="1" ht="18.75">
      <c r="A153" s="358" t="s">
        <v>162</v>
      </c>
      <c r="B153" s="358"/>
      <c r="C153" s="359"/>
      <c r="D153" s="358"/>
      <c r="E153" s="360"/>
      <c r="F153" s="360" t="s">
        <v>313</v>
      </c>
      <c r="G153" s="361"/>
      <c r="H153" s="381">
        <f>SUM(H131:H152)</f>
        <v>15813.619999999994</v>
      </c>
      <c r="I153" s="381">
        <f>SUM(I131:I152)</f>
        <v>20522.780000000002</v>
      </c>
      <c r="J153" s="180"/>
      <c r="K153">
        <v>0</v>
      </c>
    </row>
    <row r="154" spans="1:11" s="371" customFormat="1" ht="18.75">
      <c r="A154" s="352" t="s">
        <v>39</v>
      </c>
      <c r="B154" s="352"/>
      <c r="C154" s="353" t="s">
        <v>41</v>
      </c>
      <c r="D154" s="352"/>
      <c r="E154" s="354"/>
      <c r="F154" s="354"/>
      <c r="G154" s="355"/>
      <c r="H154" s="382"/>
      <c r="I154" s="382"/>
      <c r="J154" s="180"/>
      <c r="K154"/>
    </row>
    <row r="155" spans="1:11" ht="30.75">
      <c r="A155" s="317" t="s">
        <v>314</v>
      </c>
      <c r="B155" s="317" t="s">
        <v>1036</v>
      </c>
      <c r="C155" s="318" t="s">
        <v>1240</v>
      </c>
      <c r="D155" s="317" t="s">
        <v>0</v>
      </c>
      <c r="E155" s="316">
        <v>105.04</v>
      </c>
      <c r="F155" s="388">
        <f>J155</f>
        <v>2.4</v>
      </c>
      <c r="G155" s="387">
        <f aca="true" t="shared" si="28" ref="G155:G160">ROUND((F155*1.2977),2)</f>
        <v>3.11</v>
      </c>
      <c r="H155" s="380">
        <f aca="true" t="shared" si="29" ref="H155:H160">ROUND((E155*F155),2)</f>
        <v>252.1</v>
      </c>
      <c r="I155" s="380">
        <f aca="true" t="shared" si="30" ref="I155:I160">ROUND((E155*G155),2)</f>
        <v>326.67</v>
      </c>
      <c r="J155" s="180">
        <v>2.4</v>
      </c>
      <c r="K155">
        <v>3.11</v>
      </c>
    </row>
    <row r="156" spans="1:11" ht="30.75">
      <c r="A156" s="317" t="s">
        <v>315</v>
      </c>
      <c r="B156" s="317" t="s">
        <v>1037</v>
      </c>
      <c r="C156" s="318" t="s">
        <v>1241</v>
      </c>
      <c r="D156" s="317" t="s">
        <v>0</v>
      </c>
      <c r="E156" s="316">
        <v>105.04</v>
      </c>
      <c r="F156" s="388">
        <f>J156</f>
        <v>11.98</v>
      </c>
      <c r="G156" s="387">
        <f t="shared" si="28"/>
        <v>15.55</v>
      </c>
      <c r="H156" s="380">
        <f t="shared" si="29"/>
        <v>1258.38</v>
      </c>
      <c r="I156" s="380">
        <f t="shared" si="30"/>
        <v>1633.37</v>
      </c>
      <c r="J156" s="180">
        <v>11.98</v>
      </c>
      <c r="K156">
        <v>15.55</v>
      </c>
    </row>
    <row r="157" spans="1:11" ht="45.75">
      <c r="A157" s="317" t="s">
        <v>316</v>
      </c>
      <c r="B157" s="317" t="s">
        <v>1230</v>
      </c>
      <c r="C157" s="469" t="s">
        <v>1288</v>
      </c>
      <c r="D157" s="317" t="s">
        <v>0</v>
      </c>
      <c r="E157" s="319">
        <v>193</v>
      </c>
      <c r="F157" s="388">
        <f>J157</f>
        <v>9.76</v>
      </c>
      <c r="G157" s="387">
        <f t="shared" si="28"/>
        <v>12.67</v>
      </c>
      <c r="H157" s="380">
        <f t="shared" si="29"/>
        <v>1883.68</v>
      </c>
      <c r="I157" s="380">
        <f t="shared" si="30"/>
        <v>2445.31</v>
      </c>
      <c r="J157" s="180">
        <v>9.76</v>
      </c>
      <c r="K157">
        <v>12.67</v>
      </c>
    </row>
    <row r="158" spans="1:11" ht="45.75">
      <c r="A158" s="317" t="s">
        <v>319</v>
      </c>
      <c r="B158" s="317" t="s">
        <v>988</v>
      </c>
      <c r="C158" s="469" t="s">
        <v>1285</v>
      </c>
      <c r="D158" s="317" t="s">
        <v>0</v>
      </c>
      <c r="E158" s="316">
        <v>119.92</v>
      </c>
      <c r="F158" s="388">
        <f>J158</f>
        <v>15.79</v>
      </c>
      <c r="G158" s="387">
        <f t="shared" si="28"/>
        <v>20.49</v>
      </c>
      <c r="H158" s="380">
        <f t="shared" si="29"/>
        <v>1893.54</v>
      </c>
      <c r="I158" s="380">
        <f t="shared" si="30"/>
        <v>2457.16</v>
      </c>
      <c r="J158" s="362">
        <v>15.79</v>
      </c>
      <c r="K158" s="363">
        <v>20.49</v>
      </c>
    </row>
    <row r="159" spans="1:11" ht="18.75">
      <c r="A159" s="317" t="s">
        <v>320</v>
      </c>
      <c r="B159" s="317" t="s">
        <v>1038</v>
      </c>
      <c r="C159" s="469" t="s">
        <v>1286</v>
      </c>
      <c r="D159" s="317" t="s">
        <v>0</v>
      </c>
      <c r="E159" s="316">
        <v>221.63</v>
      </c>
      <c r="F159" s="388">
        <f>J159</f>
        <v>15.34</v>
      </c>
      <c r="G159" s="387">
        <f t="shared" si="28"/>
        <v>19.91</v>
      </c>
      <c r="H159" s="380">
        <f t="shared" si="29"/>
        <v>3399.8</v>
      </c>
      <c r="I159" s="380">
        <f t="shared" si="30"/>
        <v>4412.65</v>
      </c>
      <c r="J159" s="362">
        <v>15.34</v>
      </c>
      <c r="K159" s="371">
        <v>19.91</v>
      </c>
    </row>
    <row r="160" spans="1:11" s="498" customFormat="1" ht="30">
      <c r="A160" s="496" t="s">
        <v>1238</v>
      </c>
      <c r="B160" s="496" t="s">
        <v>1039</v>
      </c>
      <c r="C160" s="56" t="s">
        <v>1287</v>
      </c>
      <c r="D160" s="496" t="s">
        <v>3</v>
      </c>
      <c r="E160" s="26">
        <v>173.3</v>
      </c>
      <c r="F160" s="388">
        <f>J160</f>
        <v>12.54</v>
      </c>
      <c r="G160" s="493">
        <f t="shared" si="28"/>
        <v>16.27</v>
      </c>
      <c r="H160" s="494">
        <f t="shared" si="29"/>
        <v>2173.18</v>
      </c>
      <c r="I160" s="494">
        <f t="shared" si="30"/>
        <v>2819.59</v>
      </c>
      <c r="J160" s="180">
        <v>12.54</v>
      </c>
      <c r="K160">
        <v>16.27</v>
      </c>
    </row>
    <row r="161" spans="1:11" s="363" customFormat="1" ht="18.75">
      <c r="A161" s="358" t="s">
        <v>162</v>
      </c>
      <c r="B161" s="358"/>
      <c r="C161" s="359"/>
      <c r="D161" s="358"/>
      <c r="E161" s="360"/>
      <c r="F161" s="360" t="s">
        <v>321</v>
      </c>
      <c r="G161" s="361"/>
      <c r="H161" s="381">
        <f>SUM(H155:H160)</f>
        <v>10860.68</v>
      </c>
      <c r="I161" s="381">
        <f>SUM(I155:I160)</f>
        <v>14094.75</v>
      </c>
      <c r="J161" s="180">
        <v>0</v>
      </c>
      <c r="K161">
        <v>0</v>
      </c>
    </row>
    <row r="162" spans="1:11" s="371" customFormat="1" ht="18.75">
      <c r="A162" s="352" t="s">
        <v>40</v>
      </c>
      <c r="B162" s="352"/>
      <c r="C162" s="353" t="s">
        <v>1226</v>
      </c>
      <c r="D162" s="352"/>
      <c r="E162" s="354"/>
      <c r="F162" s="354"/>
      <c r="G162" s="355"/>
      <c r="H162" s="382"/>
      <c r="I162" s="382"/>
      <c r="J162" s="180"/>
      <c r="K162"/>
    </row>
    <row r="163" spans="1:11" ht="30.75">
      <c r="A163" s="325" t="s">
        <v>145</v>
      </c>
      <c r="B163" s="321" t="s">
        <v>993</v>
      </c>
      <c r="C163" s="472" t="s">
        <v>1300</v>
      </c>
      <c r="D163" s="328" t="s">
        <v>29</v>
      </c>
      <c r="E163" s="328">
        <v>1</v>
      </c>
      <c r="F163" s="386">
        <f>J163</f>
        <v>1963.5</v>
      </c>
      <c r="G163" s="387">
        <f aca="true" t="shared" si="31" ref="G163:G168">ROUND((F163*1.2977),2)</f>
        <v>2548.03</v>
      </c>
      <c r="H163" s="380">
        <f aca="true" t="shared" si="32" ref="H163:H168">ROUND((E163*F163),2)</f>
        <v>1963.5</v>
      </c>
      <c r="I163" s="380">
        <f aca="true" t="shared" si="33" ref="I163:I168">ROUND((E163*G163),2)</f>
        <v>2548.03</v>
      </c>
      <c r="J163" s="180">
        <v>1963.5</v>
      </c>
      <c r="K163">
        <v>2548.03</v>
      </c>
    </row>
    <row r="164" spans="1:11" ht="30">
      <c r="A164" s="325" t="s">
        <v>146</v>
      </c>
      <c r="B164" s="321" t="s">
        <v>1208</v>
      </c>
      <c r="C164" s="327" t="s">
        <v>27</v>
      </c>
      <c r="D164" s="328" t="s">
        <v>28</v>
      </c>
      <c r="E164" s="328">
        <v>1</v>
      </c>
      <c r="F164" s="386">
        <f>J164</f>
        <v>55.95</v>
      </c>
      <c r="G164" s="387">
        <f t="shared" si="31"/>
        <v>72.61</v>
      </c>
      <c r="H164" s="380">
        <f t="shared" si="32"/>
        <v>55.95</v>
      </c>
      <c r="I164" s="380">
        <f t="shared" si="33"/>
        <v>72.61</v>
      </c>
      <c r="J164" s="180">
        <v>55.95</v>
      </c>
      <c r="K164">
        <v>72.61</v>
      </c>
    </row>
    <row r="165" spans="1:11" ht="45.75">
      <c r="A165" s="325" t="s">
        <v>147</v>
      </c>
      <c r="B165" s="321" t="s">
        <v>999</v>
      </c>
      <c r="C165" s="327" t="s">
        <v>1301</v>
      </c>
      <c r="D165" s="328" t="s">
        <v>29</v>
      </c>
      <c r="E165" s="328">
        <v>1</v>
      </c>
      <c r="F165" s="386">
        <f>J165</f>
        <v>3005.14</v>
      </c>
      <c r="G165" s="387">
        <f t="shared" si="31"/>
        <v>3899.77</v>
      </c>
      <c r="H165" s="380">
        <f t="shared" si="32"/>
        <v>3005.14</v>
      </c>
      <c r="I165" s="380">
        <f t="shared" si="33"/>
        <v>3899.77</v>
      </c>
      <c r="J165" s="180">
        <v>3005.14</v>
      </c>
      <c r="K165">
        <v>3899.77</v>
      </c>
    </row>
    <row r="166" spans="1:11" ht="30">
      <c r="A166" s="325" t="s">
        <v>323</v>
      </c>
      <c r="B166" s="321" t="s">
        <v>1293</v>
      </c>
      <c r="C166" s="327" t="s">
        <v>1297</v>
      </c>
      <c r="D166" s="328" t="s">
        <v>14</v>
      </c>
      <c r="E166" s="328">
        <v>3</v>
      </c>
      <c r="F166" s="386">
        <f>J166</f>
        <v>921.24</v>
      </c>
      <c r="G166" s="387">
        <f t="shared" si="31"/>
        <v>1195.49</v>
      </c>
      <c r="H166" s="380">
        <f t="shared" si="32"/>
        <v>2763.72</v>
      </c>
      <c r="I166" s="380">
        <f t="shared" si="33"/>
        <v>3586.47</v>
      </c>
      <c r="J166" s="497">
        <v>921.24</v>
      </c>
      <c r="K166" s="498">
        <v>1195.49</v>
      </c>
    </row>
    <row r="167" spans="1:11" ht="30">
      <c r="A167" s="325" t="s">
        <v>1152</v>
      </c>
      <c r="B167" s="321" t="s">
        <v>1161</v>
      </c>
      <c r="C167" s="327" t="s">
        <v>1153</v>
      </c>
      <c r="D167" s="328" t="s">
        <v>14</v>
      </c>
      <c r="E167" s="328">
        <v>1</v>
      </c>
      <c r="F167" s="386">
        <f>J167</f>
        <v>76.43</v>
      </c>
      <c r="G167" s="387">
        <f t="shared" si="31"/>
        <v>99.18</v>
      </c>
      <c r="H167" s="380">
        <f t="shared" si="32"/>
        <v>76.43</v>
      </c>
      <c r="I167" s="380">
        <f t="shared" si="33"/>
        <v>99.18</v>
      </c>
      <c r="J167" s="362">
        <v>76.43</v>
      </c>
      <c r="K167" s="363">
        <v>99.18</v>
      </c>
    </row>
    <row r="168" spans="1:11" ht="76.5">
      <c r="A168" s="325" t="s">
        <v>1189</v>
      </c>
      <c r="B168" s="324" t="s">
        <v>1191</v>
      </c>
      <c r="C168" s="327" t="s">
        <v>1190</v>
      </c>
      <c r="D168" s="328" t="s">
        <v>14</v>
      </c>
      <c r="E168" s="328">
        <v>1</v>
      </c>
      <c r="F168" s="386">
        <f>J168</f>
        <v>120.95</v>
      </c>
      <c r="G168" s="387">
        <f t="shared" si="31"/>
        <v>156.96</v>
      </c>
      <c r="H168" s="380">
        <f t="shared" si="32"/>
        <v>120.95</v>
      </c>
      <c r="I168" s="380">
        <f t="shared" si="33"/>
        <v>156.96</v>
      </c>
      <c r="J168" s="362">
        <v>120.95</v>
      </c>
      <c r="K168" s="371">
        <v>156.96</v>
      </c>
    </row>
    <row r="169" spans="1:11" s="363" customFormat="1" ht="18.75">
      <c r="A169" s="358" t="s">
        <v>162</v>
      </c>
      <c r="B169" s="358"/>
      <c r="C169" s="359"/>
      <c r="D169" s="358"/>
      <c r="E169" s="360"/>
      <c r="F169" s="360" t="s">
        <v>325</v>
      </c>
      <c r="G169" s="361"/>
      <c r="H169" s="381">
        <f>SUM(H163:H168)</f>
        <v>7985.69</v>
      </c>
      <c r="I169" s="381">
        <f>SUM(I163:I168)</f>
        <v>10363.019999999999</v>
      </c>
      <c r="J169" s="362"/>
      <c r="K169" s="371"/>
    </row>
    <row r="170" spans="1:11" s="371" customFormat="1" ht="18.75">
      <c r="A170" s="352" t="s">
        <v>71</v>
      </c>
      <c r="B170" s="352"/>
      <c r="C170" s="353" t="s">
        <v>1280</v>
      </c>
      <c r="D170" s="352"/>
      <c r="E170" s="354"/>
      <c r="F170" s="354"/>
      <c r="G170" s="355"/>
      <c r="H170" s="382"/>
      <c r="I170" s="382"/>
      <c r="J170" s="180">
        <v>0</v>
      </c>
      <c r="K170">
        <v>0</v>
      </c>
    </row>
    <row r="171" spans="1:11" ht="45">
      <c r="A171" s="325" t="s">
        <v>326</v>
      </c>
      <c r="B171" s="321" t="s">
        <v>1040</v>
      </c>
      <c r="C171" s="327" t="s">
        <v>484</v>
      </c>
      <c r="D171" s="328" t="s">
        <v>3</v>
      </c>
      <c r="E171" s="328">
        <v>26.6</v>
      </c>
      <c r="F171" s="386">
        <f>J171</f>
        <v>35.7</v>
      </c>
      <c r="G171" s="387">
        <f aca="true" t="shared" si="34" ref="G171:G178">ROUND((F171*1.2977),2)</f>
        <v>46.33</v>
      </c>
      <c r="H171" s="380">
        <f aca="true" t="shared" si="35" ref="H171:H178">ROUND((E171*F171),2)</f>
        <v>949.62</v>
      </c>
      <c r="I171" s="380">
        <f aca="true" t="shared" si="36" ref="I171:I178">ROUND((E171*G171),2)</f>
        <v>1232.38</v>
      </c>
      <c r="J171" s="180">
        <v>35.7</v>
      </c>
      <c r="K171">
        <v>46.33</v>
      </c>
    </row>
    <row r="172" spans="1:11" s="167" customFormat="1" ht="30">
      <c r="A172" s="455" t="s">
        <v>327</v>
      </c>
      <c r="B172" s="453" t="s">
        <v>1245</v>
      </c>
      <c r="C172" s="454" t="s">
        <v>1247</v>
      </c>
      <c r="D172" s="456" t="s">
        <v>263</v>
      </c>
      <c r="E172" s="456">
        <v>1.14</v>
      </c>
      <c r="F172" s="386">
        <f aca="true" t="shared" si="37" ref="F172:F178">J172</f>
        <v>200.85</v>
      </c>
      <c r="G172" s="457">
        <f t="shared" si="34"/>
        <v>260.64</v>
      </c>
      <c r="H172" s="458">
        <f t="shared" si="35"/>
        <v>228.97</v>
      </c>
      <c r="I172" s="458">
        <f t="shared" si="36"/>
        <v>297.13</v>
      </c>
      <c r="J172" s="180">
        <v>200.85</v>
      </c>
      <c r="K172">
        <v>260.64</v>
      </c>
    </row>
    <row r="173" spans="1:11" s="176" customFormat="1" ht="61.5">
      <c r="A173" s="325" t="s">
        <v>328</v>
      </c>
      <c r="B173" s="321" t="s">
        <v>1004</v>
      </c>
      <c r="C173" s="327" t="s">
        <v>559</v>
      </c>
      <c r="D173" s="328" t="s">
        <v>557</v>
      </c>
      <c r="E173" s="328">
        <v>80.32</v>
      </c>
      <c r="F173" s="386">
        <f t="shared" si="37"/>
        <v>6.45</v>
      </c>
      <c r="G173" s="387">
        <f t="shared" si="34"/>
        <v>8.37</v>
      </c>
      <c r="H173" s="380">
        <f t="shared" si="35"/>
        <v>518.06</v>
      </c>
      <c r="I173" s="380">
        <f t="shared" si="36"/>
        <v>672.28</v>
      </c>
      <c r="J173" s="180">
        <v>6.45</v>
      </c>
      <c r="K173">
        <v>8.37</v>
      </c>
    </row>
    <row r="174" spans="1:11" ht="30.75">
      <c r="A174" s="325" t="s">
        <v>329</v>
      </c>
      <c r="B174" s="321" t="s">
        <v>1042</v>
      </c>
      <c r="C174" s="421" t="s">
        <v>1216</v>
      </c>
      <c r="D174" s="422" t="s">
        <v>432</v>
      </c>
      <c r="E174" s="422">
        <v>6.18</v>
      </c>
      <c r="F174" s="386">
        <f t="shared" si="37"/>
        <v>559.32</v>
      </c>
      <c r="G174" s="387">
        <f t="shared" si="34"/>
        <v>725.83</v>
      </c>
      <c r="H174" s="380">
        <f t="shared" si="35"/>
        <v>3456.6</v>
      </c>
      <c r="I174" s="380">
        <f t="shared" si="36"/>
        <v>4485.63</v>
      </c>
      <c r="J174" s="180">
        <v>559.32</v>
      </c>
      <c r="K174">
        <v>725.83</v>
      </c>
    </row>
    <row r="175" spans="1:11" ht="30">
      <c r="A175" s="325" t="s">
        <v>431</v>
      </c>
      <c r="B175" s="321" t="s">
        <v>1043</v>
      </c>
      <c r="C175" s="327" t="s">
        <v>485</v>
      </c>
      <c r="D175" s="328" t="s">
        <v>557</v>
      </c>
      <c r="E175" s="328">
        <v>56.59</v>
      </c>
      <c r="F175" s="386">
        <f t="shared" si="37"/>
        <v>58.18</v>
      </c>
      <c r="G175" s="387">
        <f t="shared" si="34"/>
        <v>75.5</v>
      </c>
      <c r="H175" s="380">
        <f t="shared" si="35"/>
        <v>3292.41</v>
      </c>
      <c r="I175" s="380">
        <f t="shared" si="36"/>
        <v>4272.55</v>
      </c>
      <c r="J175" s="180">
        <v>58.18</v>
      </c>
      <c r="K175">
        <v>75.5</v>
      </c>
    </row>
    <row r="176" spans="1:11" s="278" customFormat="1" ht="45">
      <c r="A176" s="325" t="s">
        <v>433</v>
      </c>
      <c r="B176" s="321" t="s">
        <v>1044</v>
      </c>
      <c r="C176" s="327" t="s">
        <v>560</v>
      </c>
      <c r="D176" s="328" t="s">
        <v>0</v>
      </c>
      <c r="E176" s="328">
        <v>3.77</v>
      </c>
      <c r="F176" s="386">
        <f t="shared" si="37"/>
        <v>45.11</v>
      </c>
      <c r="G176" s="387">
        <f t="shared" si="34"/>
        <v>58.54</v>
      </c>
      <c r="H176" s="380">
        <f t="shared" si="35"/>
        <v>170.06</v>
      </c>
      <c r="I176" s="380">
        <f t="shared" si="36"/>
        <v>220.7</v>
      </c>
      <c r="J176" s="362">
        <v>45.11</v>
      </c>
      <c r="K176" s="363">
        <v>58.54</v>
      </c>
    </row>
    <row r="177" spans="1:11" ht="60.75">
      <c r="A177" s="317" t="s">
        <v>558</v>
      </c>
      <c r="B177" s="317" t="s">
        <v>1203</v>
      </c>
      <c r="C177" s="423" t="s">
        <v>1215</v>
      </c>
      <c r="D177" s="317" t="s">
        <v>0</v>
      </c>
      <c r="E177" s="316">
        <v>5.85</v>
      </c>
      <c r="F177" s="386">
        <f t="shared" si="37"/>
        <v>127.47</v>
      </c>
      <c r="G177" s="387">
        <f t="shared" si="34"/>
        <v>165.42</v>
      </c>
      <c r="H177" s="380">
        <f t="shared" si="35"/>
        <v>745.7</v>
      </c>
      <c r="I177" s="380">
        <f t="shared" si="36"/>
        <v>967.71</v>
      </c>
      <c r="J177" s="362">
        <v>127.47</v>
      </c>
      <c r="K177" s="371">
        <v>165.42</v>
      </c>
    </row>
    <row r="178" spans="1:11" ht="30">
      <c r="A178" s="325" t="s">
        <v>588</v>
      </c>
      <c r="B178" s="335" t="s">
        <v>1041</v>
      </c>
      <c r="C178" s="327" t="s">
        <v>589</v>
      </c>
      <c r="D178" s="328" t="s">
        <v>14</v>
      </c>
      <c r="E178" s="328">
        <v>1</v>
      </c>
      <c r="F178" s="386">
        <f t="shared" si="37"/>
        <v>86.54</v>
      </c>
      <c r="G178" s="387">
        <f t="shared" si="34"/>
        <v>112.3</v>
      </c>
      <c r="H178" s="380">
        <f t="shared" si="35"/>
        <v>86.54</v>
      </c>
      <c r="I178" s="380">
        <f t="shared" si="36"/>
        <v>112.3</v>
      </c>
      <c r="J178" s="180">
        <v>86.54</v>
      </c>
      <c r="K178">
        <v>112.3</v>
      </c>
    </row>
    <row r="179" spans="1:11" s="363" customFormat="1" ht="18.75">
      <c r="A179" s="358" t="s">
        <v>162</v>
      </c>
      <c r="B179" s="358"/>
      <c r="C179" s="359"/>
      <c r="D179" s="358"/>
      <c r="E179" s="360"/>
      <c r="F179" s="360" t="s">
        <v>330</v>
      </c>
      <c r="G179" s="361"/>
      <c r="H179" s="381">
        <f>SUM(H171:H178)</f>
        <v>9447.960000000001</v>
      </c>
      <c r="I179" s="381">
        <f>SUM(I171:I178)</f>
        <v>12260.68</v>
      </c>
      <c r="J179" s="459"/>
      <c r="K179" s="167">
        <v>0</v>
      </c>
    </row>
    <row r="180" spans="1:11" s="369" customFormat="1" ht="18.75">
      <c r="A180" s="372" t="s">
        <v>42</v>
      </c>
      <c r="B180" s="358"/>
      <c r="C180" s="373" t="s">
        <v>66</v>
      </c>
      <c r="D180" s="374"/>
      <c r="E180" s="374"/>
      <c r="F180" s="375"/>
      <c r="G180" s="376"/>
      <c r="H180" s="381"/>
      <c r="I180" s="381"/>
      <c r="J180" s="459"/>
      <c r="K180" s="167"/>
    </row>
    <row r="181" spans="1:11" s="121" customFormat="1" ht="15.75">
      <c r="A181" s="321" t="s">
        <v>331</v>
      </c>
      <c r="B181" s="321" t="s">
        <v>1045</v>
      </c>
      <c r="C181" s="322" t="s">
        <v>488</v>
      </c>
      <c r="D181" s="321" t="s">
        <v>1</v>
      </c>
      <c r="E181" s="323">
        <v>40.12</v>
      </c>
      <c r="F181" s="386">
        <f>J181</f>
        <v>22.37</v>
      </c>
      <c r="G181" s="387">
        <f>ROUND((F181*1.2977),2)</f>
        <v>29.03</v>
      </c>
      <c r="H181" s="380">
        <f aca="true" t="shared" si="38" ref="H181:H187">ROUND((E181*F181),2)</f>
        <v>897.48</v>
      </c>
      <c r="I181" s="380">
        <f aca="true" t="shared" si="39" ref="I181:I187">ROUND((E181*G181),2)</f>
        <v>1164.68</v>
      </c>
      <c r="J181" s="180">
        <v>22.37</v>
      </c>
      <c r="K181" s="176">
        <v>29.03</v>
      </c>
    </row>
    <row r="182" spans="1:11" s="121" customFormat="1" ht="15.75">
      <c r="A182" s="321" t="s">
        <v>332</v>
      </c>
      <c r="B182" s="321" t="s">
        <v>1046</v>
      </c>
      <c r="C182" s="322" t="s">
        <v>1198</v>
      </c>
      <c r="D182" s="321" t="s">
        <v>1</v>
      </c>
      <c r="E182" s="323">
        <v>81.13</v>
      </c>
      <c r="F182" s="386">
        <f aca="true" t="shared" si="40" ref="F182:F187">J182</f>
        <v>3.96</v>
      </c>
      <c r="G182" s="387">
        <f>ROUND((F182*1.2977),2)</f>
        <v>5.14</v>
      </c>
      <c r="H182" s="380">
        <f t="shared" si="38"/>
        <v>321.27</v>
      </c>
      <c r="I182" s="380">
        <f t="shared" si="39"/>
        <v>417.01</v>
      </c>
      <c r="J182" s="180">
        <v>3.96</v>
      </c>
      <c r="K182">
        <v>5.14</v>
      </c>
    </row>
    <row r="183" spans="1:11" s="121" customFormat="1" ht="30.75">
      <c r="A183" s="321" t="s">
        <v>333</v>
      </c>
      <c r="B183" s="321" t="s">
        <v>1047</v>
      </c>
      <c r="C183" s="322" t="s">
        <v>1199</v>
      </c>
      <c r="D183" s="321" t="s">
        <v>391</v>
      </c>
      <c r="E183" s="323">
        <v>1309.5</v>
      </c>
      <c r="F183" s="386">
        <f t="shared" si="40"/>
        <v>1.56</v>
      </c>
      <c r="G183" s="387">
        <f>ROUND((F183*1.2977),2)</f>
        <v>2.02</v>
      </c>
      <c r="H183" s="380">
        <f t="shared" si="38"/>
        <v>2042.82</v>
      </c>
      <c r="I183" s="380">
        <f t="shared" si="39"/>
        <v>2645.19</v>
      </c>
      <c r="J183" s="180">
        <v>1.56</v>
      </c>
      <c r="K183">
        <v>2.02</v>
      </c>
    </row>
    <row r="184" spans="1:11" s="121" customFormat="1" ht="46.5">
      <c r="A184" s="151" t="s">
        <v>334</v>
      </c>
      <c r="B184" s="151" t="s">
        <v>392</v>
      </c>
      <c r="C184" s="145" t="s">
        <v>1200</v>
      </c>
      <c r="D184" s="151" t="s">
        <v>1</v>
      </c>
      <c r="E184" s="279">
        <f>ROUND((40.12+81.11),2)</f>
        <v>121.23</v>
      </c>
      <c r="F184" s="386">
        <f t="shared" si="40"/>
        <v>54</v>
      </c>
      <c r="G184" s="493">
        <f>ROUND((F184*1.2302),2)</f>
        <v>66.43</v>
      </c>
      <c r="H184" s="494">
        <f t="shared" si="38"/>
        <v>6546.42</v>
      </c>
      <c r="I184" s="494">
        <f t="shared" si="39"/>
        <v>8053.31</v>
      </c>
      <c r="J184" s="180">
        <v>54</v>
      </c>
      <c r="K184" s="278">
        <v>66.43</v>
      </c>
    </row>
    <row r="185" spans="1:11" s="121" customFormat="1" ht="30">
      <c r="A185" s="321" t="s">
        <v>337</v>
      </c>
      <c r="B185" s="321" t="s">
        <v>1048</v>
      </c>
      <c r="C185" s="322" t="s">
        <v>493</v>
      </c>
      <c r="D185" s="321" t="s">
        <v>94</v>
      </c>
      <c r="E185" s="323">
        <v>18</v>
      </c>
      <c r="F185" s="386">
        <f t="shared" si="40"/>
        <v>11.15</v>
      </c>
      <c r="G185" s="387">
        <f>ROUND((F185*1.2977),2)</f>
        <v>14.47</v>
      </c>
      <c r="H185" s="380">
        <f t="shared" si="38"/>
        <v>200.7</v>
      </c>
      <c r="I185" s="380">
        <f t="shared" si="39"/>
        <v>260.46</v>
      </c>
      <c r="J185" s="180">
        <v>11.15</v>
      </c>
      <c r="K185">
        <v>14.47</v>
      </c>
    </row>
    <row r="186" spans="1:11" s="121" customFormat="1" ht="31.5">
      <c r="A186" s="321" t="s">
        <v>393</v>
      </c>
      <c r="B186" s="321" t="s">
        <v>1049</v>
      </c>
      <c r="C186" s="322" t="s">
        <v>1201</v>
      </c>
      <c r="D186" s="321" t="s">
        <v>336</v>
      </c>
      <c r="E186" s="323">
        <v>36</v>
      </c>
      <c r="F186" s="386">
        <f t="shared" si="40"/>
        <v>0.59</v>
      </c>
      <c r="G186" s="387">
        <f>ROUND((F186*1.2977),2)</f>
        <v>0.77</v>
      </c>
      <c r="H186" s="380">
        <f t="shared" si="38"/>
        <v>21.24</v>
      </c>
      <c r="I186" s="380">
        <f t="shared" si="39"/>
        <v>27.72</v>
      </c>
      <c r="J186" s="180">
        <v>0.59</v>
      </c>
      <c r="K186">
        <v>0.77</v>
      </c>
    </row>
    <row r="187" spans="1:11" s="121" customFormat="1" ht="30">
      <c r="A187" s="321" t="s">
        <v>1212</v>
      </c>
      <c r="B187" s="321" t="s">
        <v>1213</v>
      </c>
      <c r="C187" s="322" t="s">
        <v>1218</v>
      </c>
      <c r="D187" s="321" t="s">
        <v>1</v>
      </c>
      <c r="E187" s="323">
        <v>4</v>
      </c>
      <c r="F187" s="386">
        <f t="shared" si="40"/>
        <v>18.08</v>
      </c>
      <c r="G187" s="387">
        <f>ROUND((F187*1.2977),2)</f>
        <v>23.46</v>
      </c>
      <c r="H187" s="380">
        <f t="shared" si="38"/>
        <v>72.32</v>
      </c>
      <c r="I187" s="380">
        <f t="shared" si="39"/>
        <v>93.84</v>
      </c>
      <c r="J187" s="362">
        <v>18.08</v>
      </c>
      <c r="K187" s="363">
        <v>23.46</v>
      </c>
    </row>
    <row r="188" spans="1:11" s="377" customFormat="1" ht="18.75">
      <c r="A188" s="358" t="s">
        <v>162</v>
      </c>
      <c r="B188" s="358"/>
      <c r="C188" s="359"/>
      <c r="D188" s="358"/>
      <c r="E188" s="360"/>
      <c r="F188" s="360" t="s">
        <v>335</v>
      </c>
      <c r="G188" s="361"/>
      <c r="H188" s="381">
        <f>SUM(H181:H187)</f>
        <v>10102.25</v>
      </c>
      <c r="I188" s="381">
        <f>SUM(I181:I187)</f>
        <v>12662.21</v>
      </c>
      <c r="J188" s="362"/>
      <c r="K188" s="369"/>
    </row>
    <row r="189" spans="1:11" s="379" customFormat="1" ht="18">
      <c r="A189" s="358" t="s">
        <v>162</v>
      </c>
      <c r="B189" s="358"/>
      <c r="C189" s="364"/>
      <c r="D189" s="579" t="s">
        <v>338</v>
      </c>
      <c r="E189" s="579"/>
      <c r="F189" s="579"/>
      <c r="G189" s="378"/>
      <c r="H189" s="385">
        <f>H28+H110+H118+H129+H153+H161+H169+H179+H188</f>
        <v>283340.52</v>
      </c>
      <c r="I189" s="385">
        <f>I28+I110+I118+I129+I153+I161+I169+I179+I188</f>
        <v>367256.9600000001</v>
      </c>
      <c r="J189" s="180"/>
      <c r="K189" s="121"/>
    </row>
    <row r="190" spans="1:11" s="401" customFormat="1" ht="18.75">
      <c r="A190" s="397"/>
      <c r="B190" s="397"/>
      <c r="C190" s="398"/>
      <c r="D190" s="397"/>
      <c r="E190" s="399"/>
      <c r="F190" s="400"/>
      <c r="G190" s="400"/>
      <c r="H190" s="583"/>
      <c r="I190" s="583"/>
      <c r="J190" s="180"/>
      <c r="K190" s="121"/>
    </row>
    <row r="191" spans="1:11" s="342" customFormat="1" ht="15.75">
      <c r="A191" s="395"/>
      <c r="B191" s="395"/>
      <c r="C191" s="402"/>
      <c r="D191" s="395"/>
      <c r="G191" s="403"/>
      <c r="J191" s="180"/>
      <c r="K191" s="121"/>
    </row>
    <row r="192" spans="8:11" ht="15.75">
      <c r="H192" s="567"/>
      <c r="I192" s="567"/>
      <c r="J192" s="180"/>
      <c r="K192" s="121"/>
    </row>
    <row r="193" spans="9:11" ht="15.75">
      <c r="I193" s="504"/>
      <c r="J193" s="180"/>
      <c r="K193" s="121"/>
    </row>
    <row r="194" spans="10:11" ht="15.75">
      <c r="J194" s="180"/>
      <c r="K194" s="121"/>
    </row>
    <row r="195" spans="10:11" ht="15.75">
      <c r="J195" s="180"/>
      <c r="K195" s="121"/>
    </row>
    <row r="196" spans="8:11" ht="18">
      <c r="H196" s="312"/>
      <c r="J196" s="377"/>
      <c r="K196" s="377"/>
    </row>
    <row r="197" spans="10:11" ht="18">
      <c r="J197" s="379"/>
      <c r="K197" s="379"/>
    </row>
    <row r="198" spans="10:11" ht="18.75">
      <c r="J198" s="401"/>
      <c r="K198" s="401"/>
    </row>
    <row r="199" spans="10:11" ht="15">
      <c r="J199" s="342"/>
      <c r="K199" s="342"/>
    </row>
  </sheetData>
  <sheetProtection/>
  <mergeCells count="16">
    <mergeCell ref="F7:I7"/>
    <mergeCell ref="F8:I8"/>
    <mergeCell ref="A9:I9"/>
    <mergeCell ref="D189:F189"/>
    <mergeCell ref="F10:I10"/>
    <mergeCell ref="H190:I190"/>
    <mergeCell ref="F3:I3"/>
    <mergeCell ref="F4:I4"/>
    <mergeCell ref="F5:I5"/>
    <mergeCell ref="F6:I6"/>
    <mergeCell ref="H192:I192"/>
    <mergeCell ref="A10:A11"/>
    <mergeCell ref="B10:B11"/>
    <mergeCell ref="C10:C11"/>
    <mergeCell ref="D10:D11"/>
    <mergeCell ref="E10:E11"/>
  </mergeCells>
  <printOptions/>
  <pageMargins left="0.5118110236220472" right="0.5118110236220472" top="0.7874015748031497" bottom="0.7874015748031497" header="0.31496062992125984" footer="0.31496062992125984"/>
  <pageSetup fitToHeight="1000" horizontalDpi="300" verticalDpi="300" orientation="landscape" paperSize="9" scale="53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showZeros="0" view="pageBreakPreview" zoomScale="40" zoomScaleNormal="70" zoomScaleSheetLayoutView="40" zoomScalePageLayoutView="0" workbookViewId="0" topLeftCell="A4">
      <selection activeCell="B14" sqref="B14"/>
    </sheetView>
  </sheetViews>
  <sheetFormatPr defaultColWidth="8.8515625" defaultRowHeight="15"/>
  <cols>
    <col min="1" max="1" width="12.7109375" style="101" bestFit="1" customWidth="1"/>
    <col min="2" max="2" width="78.28125" style="101" bestFit="1" customWidth="1"/>
    <col min="3" max="3" width="16.28125" style="101" bestFit="1" customWidth="1"/>
    <col min="4" max="4" width="29.421875" style="101" customWidth="1"/>
    <col min="5" max="5" width="18.57421875" style="101" customWidth="1"/>
    <col min="6" max="6" width="34.57421875" style="101" customWidth="1"/>
    <col min="7" max="7" width="14.8515625" style="101" bestFit="1" customWidth="1"/>
    <col min="8" max="8" width="28.421875" style="101" bestFit="1" customWidth="1"/>
    <col min="9" max="9" width="16.28125" style="101" bestFit="1" customWidth="1"/>
    <col min="10" max="10" width="28.421875" style="101" bestFit="1" customWidth="1"/>
    <col min="11" max="11" width="18.00390625" style="101" bestFit="1" customWidth="1"/>
    <col min="12" max="12" width="27.421875" style="101" customWidth="1"/>
    <col min="13" max="13" width="17.00390625" style="101" bestFit="1" customWidth="1"/>
    <col min="14" max="14" width="28.421875" style="101" bestFit="1" customWidth="1"/>
    <col min="15" max="15" width="33.140625" style="101" customWidth="1"/>
    <col min="16" max="16" width="21.28125" style="71" bestFit="1" customWidth="1"/>
    <col min="17" max="17" width="21.57421875" style="84" bestFit="1" customWidth="1"/>
    <col min="18" max="18" width="10.57421875" style="71" bestFit="1" customWidth="1"/>
    <col min="19" max="16384" width="8.8515625" style="71" customWidth="1"/>
  </cols>
  <sheetData>
    <row r="1" spans="1:16" ht="39.75" customHeight="1">
      <c r="A1" s="612" t="s">
        <v>43</v>
      </c>
      <c r="B1" s="613"/>
      <c r="C1" s="613"/>
      <c r="D1" s="613"/>
      <c r="E1" s="613"/>
      <c r="F1" s="613"/>
      <c r="G1" s="431"/>
      <c r="H1" s="431"/>
      <c r="I1" s="431"/>
      <c r="J1" s="431"/>
      <c r="K1" s="68"/>
      <c r="L1" s="68"/>
      <c r="M1" s="68"/>
      <c r="N1" s="68"/>
      <c r="O1" s="69"/>
      <c r="P1" s="70"/>
    </row>
    <row r="2" spans="1:16" ht="39.75" customHeight="1">
      <c r="A2" s="614" t="s">
        <v>44</v>
      </c>
      <c r="B2" s="615"/>
      <c r="C2" s="615"/>
      <c r="D2" s="615"/>
      <c r="E2" s="615"/>
      <c r="F2" s="615"/>
      <c r="G2" s="432"/>
      <c r="H2" s="432"/>
      <c r="I2" s="432"/>
      <c r="J2" s="432"/>
      <c r="K2" s="72"/>
      <c r="L2" s="72"/>
      <c r="M2" s="72"/>
      <c r="N2" s="72"/>
      <c r="O2" s="73"/>
      <c r="P2" s="70"/>
    </row>
    <row r="3" spans="1:16" ht="39.75" customHeight="1">
      <c r="A3" s="614" t="s">
        <v>1229</v>
      </c>
      <c r="B3" s="615"/>
      <c r="C3" s="615"/>
      <c r="D3" s="615"/>
      <c r="E3" s="615"/>
      <c r="F3" s="615"/>
      <c r="G3" s="432"/>
      <c r="H3" s="432"/>
      <c r="I3" s="432"/>
      <c r="J3" s="432"/>
      <c r="K3" s="72"/>
      <c r="L3" s="72"/>
      <c r="M3" s="72"/>
      <c r="N3" s="72"/>
      <c r="O3" s="73"/>
      <c r="P3" s="70"/>
    </row>
    <row r="4" spans="1:16" ht="39.75" customHeight="1">
      <c r="A4" s="616" t="s">
        <v>1283</v>
      </c>
      <c r="B4" s="617"/>
      <c r="C4" s="617"/>
      <c r="D4" s="617"/>
      <c r="E4" s="617"/>
      <c r="F4" s="617"/>
      <c r="G4" s="433"/>
      <c r="H4" s="433"/>
      <c r="I4" s="433"/>
      <c r="J4" s="433"/>
      <c r="K4" s="74"/>
      <c r="L4" s="74"/>
      <c r="M4" s="74"/>
      <c r="N4" s="74"/>
      <c r="O4" s="73"/>
      <c r="P4" s="70"/>
    </row>
    <row r="5" spans="1:16" ht="39.75" customHeight="1">
      <c r="A5" s="618" t="s">
        <v>1228</v>
      </c>
      <c r="B5" s="619"/>
      <c r="C5" s="619"/>
      <c r="D5" s="619"/>
      <c r="E5" s="619"/>
      <c r="F5" s="619"/>
      <c r="G5" s="434"/>
      <c r="H5" s="434"/>
      <c r="I5" s="434"/>
      <c r="J5" s="434"/>
      <c r="K5" s="75"/>
      <c r="L5" s="75"/>
      <c r="M5" s="75"/>
      <c r="N5" s="75"/>
      <c r="O5" s="73"/>
      <c r="P5" s="70"/>
    </row>
    <row r="6" spans="1:16" ht="39.75" customHeight="1">
      <c r="A6" s="597" t="s">
        <v>54</v>
      </c>
      <c r="B6" s="598"/>
      <c r="C6" s="598"/>
      <c r="D6" s="598"/>
      <c r="E6" s="598"/>
      <c r="F6" s="598"/>
      <c r="G6" s="435"/>
      <c r="H6" s="435"/>
      <c r="I6" s="435"/>
      <c r="J6" s="435"/>
      <c r="K6" s="76"/>
      <c r="L6" s="76"/>
      <c r="M6" s="76"/>
      <c r="N6" s="76"/>
      <c r="O6" s="73"/>
      <c r="P6" s="70"/>
    </row>
    <row r="7" spans="1:16" ht="39.75" customHeight="1">
      <c r="A7" s="599" t="s">
        <v>1494</v>
      </c>
      <c r="B7" s="600"/>
      <c r="C7" s="600"/>
      <c r="D7" s="600"/>
      <c r="E7" s="600"/>
      <c r="F7" s="600"/>
      <c r="G7" s="436"/>
      <c r="H7" s="436"/>
      <c r="I7" s="436"/>
      <c r="J7" s="436"/>
      <c r="K7" s="77"/>
      <c r="L7" s="77"/>
      <c r="M7" s="77"/>
      <c r="N7" s="77"/>
      <c r="O7" s="73"/>
      <c r="P7" s="70"/>
    </row>
    <row r="8" spans="1:16" ht="39.75" customHeight="1">
      <c r="A8" s="601" t="s">
        <v>116</v>
      </c>
      <c r="B8" s="602"/>
      <c r="C8" s="602"/>
      <c r="D8" s="602"/>
      <c r="E8" s="602"/>
      <c r="F8" s="602"/>
      <c r="G8" s="437"/>
      <c r="H8" s="437"/>
      <c r="I8" s="437"/>
      <c r="J8" s="437"/>
      <c r="K8" s="78"/>
      <c r="L8" s="78"/>
      <c r="M8" s="78"/>
      <c r="N8" s="78"/>
      <c r="O8" s="79"/>
      <c r="P8" s="70"/>
    </row>
    <row r="9" spans="1:16" ht="39.75" customHeight="1">
      <c r="A9" s="609" t="s">
        <v>55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1"/>
      <c r="P9" s="70"/>
    </row>
    <row r="10" spans="1:18" ht="39.75" customHeight="1">
      <c r="A10" s="603" t="s">
        <v>47</v>
      </c>
      <c r="B10" s="603" t="s">
        <v>56</v>
      </c>
      <c r="C10" s="606" t="s">
        <v>57</v>
      </c>
      <c r="D10" s="607"/>
      <c r="E10" s="607"/>
      <c r="F10" s="607"/>
      <c r="G10" s="607"/>
      <c r="H10" s="607"/>
      <c r="I10" s="607"/>
      <c r="J10" s="607"/>
      <c r="K10" s="607"/>
      <c r="L10" s="607"/>
      <c r="M10" s="607"/>
      <c r="N10" s="607"/>
      <c r="O10" s="80"/>
      <c r="P10" s="70"/>
      <c r="Q10" s="102"/>
      <c r="R10" s="81"/>
    </row>
    <row r="11" spans="1:18" ht="39.75" customHeight="1">
      <c r="A11" s="604"/>
      <c r="B11" s="604"/>
      <c r="C11" s="606" t="s">
        <v>58</v>
      </c>
      <c r="D11" s="608"/>
      <c r="E11" s="606" t="s">
        <v>59</v>
      </c>
      <c r="F11" s="608"/>
      <c r="G11" s="606" t="s">
        <v>60</v>
      </c>
      <c r="H11" s="608"/>
      <c r="I11" s="606" t="s">
        <v>61</v>
      </c>
      <c r="J11" s="608"/>
      <c r="K11" s="606" t="s">
        <v>1269</v>
      </c>
      <c r="L11" s="608"/>
      <c r="M11" s="606" t="s">
        <v>1270</v>
      </c>
      <c r="N11" s="608"/>
      <c r="O11" s="80" t="s">
        <v>62</v>
      </c>
      <c r="P11" s="70"/>
      <c r="Q11" s="102"/>
      <c r="R11" s="81"/>
    </row>
    <row r="12" spans="1:16" ht="39.75" customHeight="1">
      <c r="A12" s="605"/>
      <c r="B12" s="605"/>
      <c r="C12" s="82" t="s">
        <v>63</v>
      </c>
      <c r="D12" s="83" t="s">
        <v>64</v>
      </c>
      <c r="E12" s="82" t="s">
        <v>63</v>
      </c>
      <c r="F12" s="83" t="s">
        <v>64</v>
      </c>
      <c r="G12" s="82" t="s">
        <v>63</v>
      </c>
      <c r="H12" s="83" t="s">
        <v>64</v>
      </c>
      <c r="I12" s="82" t="s">
        <v>63</v>
      </c>
      <c r="J12" s="83" t="s">
        <v>64</v>
      </c>
      <c r="K12" s="82" t="s">
        <v>63</v>
      </c>
      <c r="L12" s="83" t="s">
        <v>64</v>
      </c>
      <c r="M12" s="82" t="s">
        <v>63</v>
      </c>
      <c r="N12" s="83" t="s">
        <v>64</v>
      </c>
      <c r="O12" s="80" t="s">
        <v>65</v>
      </c>
      <c r="P12" s="70"/>
    </row>
    <row r="13" spans="1:16" ht="39.75" customHeight="1">
      <c r="A13" s="594"/>
      <c r="B13" s="594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4"/>
      <c r="P13" s="84"/>
    </row>
    <row r="14" spans="1:17" ht="39.75" customHeight="1">
      <c r="A14" s="85" t="s">
        <v>32</v>
      </c>
      <c r="B14" s="86" t="s">
        <v>33</v>
      </c>
      <c r="C14" s="87">
        <v>0.8588</v>
      </c>
      <c r="D14" s="88">
        <f>C14*O14</f>
        <v>18024.382756000003</v>
      </c>
      <c r="E14" s="95"/>
      <c r="F14" s="91"/>
      <c r="G14" s="91"/>
      <c r="H14" s="91"/>
      <c r="I14" s="89">
        <v>0.062</v>
      </c>
      <c r="J14" s="88">
        <f>I14*O14</f>
        <v>1301.2479400000002</v>
      </c>
      <c r="K14" s="89">
        <v>0.0792</v>
      </c>
      <c r="L14" s="88">
        <f>K14*O14</f>
        <v>1662.2393040000004</v>
      </c>
      <c r="M14" s="90"/>
      <c r="N14" s="90"/>
      <c r="O14" s="92">
        <f>' PLANILHA DESONERADA'!I28</f>
        <v>20987.870000000003</v>
      </c>
      <c r="P14" s="93">
        <f>D14+F14+H14+J14+L14+N14</f>
        <v>20987.870000000003</v>
      </c>
      <c r="Q14" s="103">
        <f>O14-P14</f>
        <v>0</v>
      </c>
    </row>
    <row r="15" spans="1:18" ht="26.25">
      <c r="A15" s="85" t="s">
        <v>34</v>
      </c>
      <c r="B15" s="94" t="s">
        <v>123</v>
      </c>
      <c r="C15" s="87">
        <v>0.2153</v>
      </c>
      <c r="D15" s="88">
        <f>C15*O15</f>
        <v>48356.68142</v>
      </c>
      <c r="E15" s="87">
        <v>0.292</v>
      </c>
      <c r="F15" s="88">
        <f>E15*O15</f>
        <v>65583.6088</v>
      </c>
      <c r="G15" s="89">
        <v>0.2184</v>
      </c>
      <c r="H15" s="88">
        <f>G15*O15</f>
        <v>49052.94576000001</v>
      </c>
      <c r="I15" s="89">
        <v>0.1282</v>
      </c>
      <c r="J15" s="88">
        <f>I15*O15</f>
        <v>28793.899480000004</v>
      </c>
      <c r="K15" s="89">
        <v>0.1461</v>
      </c>
      <c r="L15" s="88">
        <f>K15*O15</f>
        <v>32814.264540000004</v>
      </c>
      <c r="M15" s="90"/>
      <c r="N15" s="91">
        <f aca="true" t="shared" si="0" ref="N15:N21">M15*O15</f>
        <v>0</v>
      </c>
      <c r="O15" s="92">
        <f>' PLANILHA DESONERADA'!I110</f>
        <v>224601.40000000002</v>
      </c>
      <c r="P15" s="93">
        <f aca="true" t="shared" si="1" ref="P15:P22">D15+F15+H15+J15+L15+N15</f>
        <v>224601.4</v>
      </c>
      <c r="Q15" s="103">
        <f aca="true" t="shared" si="2" ref="Q15:Q22">O15-P15</f>
        <v>0</v>
      </c>
      <c r="R15" s="516"/>
    </row>
    <row r="16" spans="1:17" ht="39.75" customHeight="1">
      <c r="A16" s="85" t="s">
        <v>35</v>
      </c>
      <c r="B16" s="86" t="s">
        <v>1220</v>
      </c>
      <c r="C16" s="95"/>
      <c r="D16" s="91"/>
      <c r="E16" s="95"/>
      <c r="F16" s="91"/>
      <c r="G16" s="90"/>
      <c r="H16" s="91"/>
      <c r="I16" s="90"/>
      <c r="J16" s="91"/>
      <c r="K16" s="89">
        <v>1</v>
      </c>
      <c r="L16" s="88">
        <f>K16*O16</f>
        <v>19684.53</v>
      </c>
      <c r="M16" s="90"/>
      <c r="N16" s="91"/>
      <c r="O16" s="92">
        <f>' PLANILHA DESONERADA'!I118</f>
        <v>19684.53</v>
      </c>
      <c r="P16" s="93">
        <f t="shared" si="1"/>
        <v>19684.53</v>
      </c>
      <c r="Q16" s="103">
        <f t="shared" si="2"/>
        <v>0</v>
      </c>
    </row>
    <row r="17" spans="1:17" ht="39.75" customHeight="1">
      <c r="A17" s="85" t="s">
        <v>36</v>
      </c>
      <c r="B17" s="86" t="s">
        <v>1221</v>
      </c>
      <c r="C17" s="95"/>
      <c r="D17" s="91">
        <f>C17*O17</f>
        <v>0</v>
      </c>
      <c r="E17" s="95"/>
      <c r="F17" s="91"/>
      <c r="G17" s="90"/>
      <c r="H17" s="91"/>
      <c r="I17" s="89">
        <v>0.042</v>
      </c>
      <c r="J17" s="88">
        <f>I17*O17</f>
        <v>1347.34824</v>
      </c>
      <c r="K17" s="90"/>
      <c r="L17" s="91"/>
      <c r="M17" s="89">
        <v>0.958</v>
      </c>
      <c r="N17" s="88">
        <f t="shared" si="0"/>
        <v>30732.371759999998</v>
      </c>
      <c r="O17" s="92">
        <f>' PLANILHA DESONERADA'!I129</f>
        <v>32079.719999999998</v>
      </c>
      <c r="P17" s="93">
        <f t="shared" si="1"/>
        <v>32079.719999999998</v>
      </c>
      <c r="Q17" s="103">
        <f t="shared" si="2"/>
        <v>0</v>
      </c>
    </row>
    <row r="18" spans="1:17" ht="39.75" customHeight="1">
      <c r="A18" s="85" t="s">
        <v>37</v>
      </c>
      <c r="B18" s="86" t="s">
        <v>38</v>
      </c>
      <c r="C18" s="95"/>
      <c r="D18" s="91"/>
      <c r="E18" s="95"/>
      <c r="F18" s="91"/>
      <c r="G18" s="90"/>
      <c r="H18" s="91"/>
      <c r="I18" s="89">
        <v>0.276</v>
      </c>
      <c r="J18" s="88">
        <f>I18*O18</f>
        <v>5664.287280000001</v>
      </c>
      <c r="K18" s="89">
        <v>0.165</v>
      </c>
      <c r="L18" s="88">
        <f>K18*O18</f>
        <v>3386.2587000000008</v>
      </c>
      <c r="M18" s="89">
        <v>0.559</v>
      </c>
      <c r="N18" s="88">
        <f t="shared" si="0"/>
        <v>11472.234020000002</v>
      </c>
      <c r="O18" s="92">
        <f>' PLANILHA DESONERADA'!I153</f>
        <v>20522.780000000002</v>
      </c>
      <c r="P18" s="93">
        <f t="shared" si="1"/>
        <v>20522.780000000006</v>
      </c>
      <c r="Q18" s="103">
        <f t="shared" si="2"/>
        <v>0</v>
      </c>
    </row>
    <row r="19" spans="1:17" ht="39.75" customHeight="1">
      <c r="A19" s="85" t="s">
        <v>39</v>
      </c>
      <c r="B19" s="86" t="s">
        <v>41</v>
      </c>
      <c r="C19" s="95"/>
      <c r="D19" s="95"/>
      <c r="E19" s="95"/>
      <c r="F19" s="91">
        <f>E19*O19</f>
        <v>0</v>
      </c>
      <c r="G19" s="90"/>
      <c r="H19" s="91"/>
      <c r="I19" s="90"/>
      <c r="J19" s="91"/>
      <c r="K19" s="90"/>
      <c r="L19" s="91"/>
      <c r="M19" s="89">
        <v>1</v>
      </c>
      <c r="N19" s="88">
        <f t="shared" si="0"/>
        <v>14094.75</v>
      </c>
      <c r="O19" s="92">
        <f>' PLANILHA DESONERADA'!I161</f>
        <v>14094.75</v>
      </c>
      <c r="P19" s="93">
        <f t="shared" si="1"/>
        <v>14094.75</v>
      </c>
      <c r="Q19" s="103">
        <f t="shared" si="2"/>
        <v>0</v>
      </c>
    </row>
    <row r="20" spans="1:17" ht="39.75" customHeight="1">
      <c r="A20" s="85" t="s">
        <v>40</v>
      </c>
      <c r="B20" s="86" t="s">
        <v>1226</v>
      </c>
      <c r="C20" s="95"/>
      <c r="D20" s="95"/>
      <c r="E20" s="95"/>
      <c r="F20" s="91"/>
      <c r="G20" s="90"/>
      <c r="H20" s="91">
        <f>G20*O20</f>
        <v>0</v>
      </c>
      <c r="I20" s="90"/>
      <c r="J20" s="91">
        <f>I20*O20</f>
        <v>0</v>
      </c>
      <c r="K20" s="90"/>
      <c r="L20" s="91"/>
      <c r="M20" s="89">
        <v>1</v>
      </c>
      <c r="N20" s="88">
        <f t="shared" si="0"/>
        <v>10363.019999999999</v>
      </c>
      <c r="O20" s="92">
        <f>' PLANILHA DESONERADA'!I169</f>
        <v>10363.019999999999</v>
      </c>
      <c r="P20" s="93">
        <f t="shared" si="1"/>
        <v>10363.019999999999</v>
      </c>
      <c r="Q20" s="103">
        <f t="shared" si="2"/>
        <v>0</v>
      </c>
    </row>
    <row r="21" spans="1:17" ht="39.75" customHeight="1">
      <c r="A21" s="85" t="s">
        <v>71</v>
      </c>
      <c r="B21" s="86" t="s">
        <v>1227</v>
      </c>
      <c r="C21" s="95"/>
      <c r="D21" s="95"/>
      <c r="E21" s="95"/>
      <c r="F21" s="95"/>
      <c r="G21" s="95"/>
      <c r="H21" s="95"/>
      <c r="I21" s="95"/>
      <c r="J21" s="95"/>
      <c r="K21" s="90"/>
      <c r="L21" s="90"/>
      <c r="M21" s="89">
        <v>1</v>
      </c>
      <c r="N21" s="88">
        <f t="shared" si="0"/>
        <v>12260.68</v>
      </c>
      <c r="O21" s="92">
        <f>' PLANILHA DESONERADA'!I179</f>
        <v>12260.68</v>
      </c>
      <c r="P21" s="93">
        <f t="shared" si="1"/>
        <v>12260.68</v>
      </c>
      <c r="Q21" s="103">
        <f t="shared" si="2"/>
        <v>0</v>
      </c>
    </row>
    <row r="22" spans="1:17" ht="39.75" customHeight="1">
      <c r="A22" s="85" t="s">
        <v>42</v>
      </c>
      <c r="B22" s="86" t="s">
        <v>66</v>
      </c>
      <c r="C22" s="87">
        <v>0.8519</v>
      </c>
      <c r="D22" s="88">
        <f>C22*O22</f>
        <v>10786.936699</v>
      </c>
      <c r="E22" s="95"/>
      <c r="F22" s="91"/>
      <c r="G22" s="91"/>
      <c r="H22" s="91"/>
      <c r="I22" s="89">
        <v>0.1352</v>
      </c>
      <c r="J22" s="88">
        <f>I22*O22</f>
        <v>1711.9307919999997</v>
      </c>
      <c r="K22" s="89">
        <v>0.0129</v>
      </c>
      <c r="L22" s="88">
        <f>K22*O22</f>
        <v>163.34250899999998</v>
      </c>
      <c r="M22" s="90"/>
      <c r="N22" s="91"/>
      <c r="O22" s="92">
        <f>' PLANILHA DESONERADA'!I188</f>
        <v>12662.21</v>
      </c>
      <c r="P22" s="93">
        <f t="shared" si="1"/>
        <v>12662.21</v>
      </c>
      <c r="Q22" s="103">
        <f t="shared" si="2"/>
        <v>0</v>
      </c>
    </row>
    <row r="23" spans="1:16" ht="39.75" customHeight="1">
      <c r="A23" s="475"/>
      <c r="B23" s="476"/>
      <c r="C23" s="477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96">
        <f>SUM(O14:O22)</f>
        <v>367256.9600000001</v>
      </c>
      <c r="P23" s="93"/>
    </row>
    <row r="24" spans="1:16" ht="39.75" customHeight="1">
      <c r="A24" s="595" t="s">
        <v>67</v>
      </c>
      <c r="B24" s="596"/>
      <c r="C24" s="586">
        <f>SUM(D14:D22)</f>
        <v>77168.000875</v>
      </c>
      <c r="D24" s="587"/>
      <c r="E24" s="586">
        <f>SUM(F14:F22)</f>
        <v>65583.6088</v>
      </c>
      <c r="F24" s="587"/>
      <c r="G24" s="586">
        <f>SUM(H14:H22)</f>
        <v>49052.94576000001</v>
      </c>
      <c r="H24" s="587"/>
      <c r="I24" s="586">
        <f>SUM(J14:J22)</f>
        <v>38818.713732000004</v>
      </c>
      <c r="J24" s="587"/>
      <c r="K24" s="586">
        <f>SUM(L14:L22)</f>
        <v>57710.635053000005</v>
      </c>
      <c r="L24" s="587"/>
      <c r="M24" s="586">
        <f>SUM(N14:N22)</f>
        <v>78923.05578</v>
      </c>
      <c r="N24" s="587"/>
      <c r="O24" s="97"/>
      <c r="P24" s="84"/>
    </row>
    <row r="25" spans="1:16" ht="39.75" customHeight="1">
      <c r="A25" s="595" t="s">
        <v>68</v>
      </c>
      <c r="B25" s="596"/>
      <c r="C25" s="592">
        <f>C24</f>
        <v>77168.000875</v>
      </c>
      <c r="D25" s="593"/>
      <c r="E25" s="592">
        <f>C25+E24</f>
        <v>142751.609675</v>
      </c>
      <c r="F25" s="593"/>
      <c r="G25" s="592">
        <f>E25+G24</f>
        <v>191804.55543500002</v>
      </c>
      <c r="H25" s="593"/>
      <c r="I25" s="592">
        <f>G25+I24</f>
        <v>230623.26916700002</v>
      </c>
      <c r="J25" s="593"/>
      <c r="K25" s="592">
        <f>I25+K24</f>
        <v>288333.90422</v>
      </c>
      <c r="L25" s="593"/>
      <c r="M25" s="592">
        <f>K25+M24</f>
        <v>367256.96</v>
      </c>
      <c r="N25" s="593"/>
      <c r="O25" s="98"/>
      <c r="P25" s="84"/>
    </row>
    <row r="26" spans="1:16" ht="39.75" customHeight="1">
      <c r="A26" s="588" t="s">
        <v>69</v>
      </c>
      <c r="B26" s="589"/>
      <c r="C26" s="584">
        <f>C24/O23</f>
        <v>0.21011991406507308</v>
      </c>
      <c r="D26" s="585"/>
      <c r="E26" s="584">
        <f>E24/O23</f>
        <v>0.17857689831119875</v>
      </c>
      <c r="F26" s="585"/>
      <c r="G26" s="584">
        <f>G24/O23</f>
        <v>0.1335657349012528</v>
      </c>
      <c r="H26" s="585"/>
      <c r="I26" s="584">
        <f>I24/O23</f>
        <v>0.10569905532083039</v>
      </c>
      <c r="J26" s="585"/>
      <c r="K26" s="584">
        <f>K24/O23</f>
        <v>0.15713966333817062</v>
      </c>
      <c r="L26" s="585"/>
      <c r="M26" s="584">
        <f>M24/O23</f>
        <v>0.21489873406347418</v>
      </c>
      <c r="N26" s="585"/>
      <c r="O26" s="99"/>
      <c r="P26" s="84"/>
    </row>
    <row r="27" spans="1:16" ht="39.75" customHeight="1">
      <c r="A27" s="588" t="s">
        <v>70</v>
      </c>
      <c r="B27" s="589"/>
      <c r="C27" s="584">
        <f>C26</f>
        <v>0.21011991406507308</v>
      </c>
      <c r="D27" s="585"/>
      <c r="E27" s="590">
        <f>C27+E26</f>
        <v>0.38869681237627185</v>
      </c>
      <c r="F27" s="591"/>
      <c r="G27" s="590">
        <f>E27+G26</f>
        <v>0.5222625472775246</v>
      </c>
      <c r="H27" s="591"/>
      <c r="I27" s="590">
        <f>G27+I26</f>
        <v>0.627961602598355</v>
      </c>
      <c r="J27" s="591"/>
      <c r="K27" s="590">
        <f>I27+K26</f>
        <v>0.7851012659365256</v>
      </c>
      <c r="L27" s="591"/>
      <c r="M27" s="590">
        <f>K27+M26</f>
        <v>0.9999999999999998</v>
      </c>
      <c r="N27" s="591"/>
      <c r="O27" s="100"/>
      <c r="P27" s="84"/>
    </row>
    <row r="29" ht="30">
      <c r="O29" s="479">
        <v>308427.6</v>
      </c>
    </row>
    <row r="30" ht="30">
      <c r="O30" s="479">
        <f>O23-O29</f>
        <v>58829.3600000001</v>
      </c>
    </row>
  </sheetData>
  <sheetProtection/>
  <mergeCells count="47">
    <mergeCell ref="G27:H27"/>
    <mergeCell ref="I27:J27"/>
    <mergeCell ref="I26:J26"/>
    <mergeCell ref="G11:H11"/>
    <mergeCell ref="I11:J11"/>
    <mergeCell ref="A1:F1"/>
    <mergeCell ref="A2:F2"/>
    <mergeCell ref="A3:F3"/>
    <mergeCell ref="A4:F4"/>
    <mergeCell ref="A5:F5"/>
    <mergeCell ref="G26:H26"/>
    <mergeCell ref="K11:L11"/>
    <mergeCell ref="A9:O9"/>
    <mergeCell ref="G24:H24"/>
    <mergeCell ref="I24:J24"/>
    <mergeCell ref="G25:H25"/>
    <mergeCell ref="I25:J25"/>
    <mergeCell ref="E24:F24"/>
    <mergeCell ref="K26:L26"/>
    <mergeCell ref="A25:B25"/>
    <mergeCell ref="A6:F6"/>
    <mergeCell ref="M24:N24"/>
    <mergeCell ref="A7:F7"/>
    <mergeCell ref="A8:F8"/>
    <mergeCell ref="A10:A12"/>
    <mergeCell ref="B10:B12"/>
    <mergeCell ref="C10:N10"/>
    <mergeCell ref="C11:D11"/>
    <mergeCell ref="E11:F11"/>
    <mergeCell ref="M11:N11"/>
    <mergeCell ref="C25:D25"/>
    <mergeCell ref="E25:F25"/>
    <mergeCell ref="K25:L25"/>
    <mergeCell ref="M25:N25"/>
    <mergeCell ref="A13:B13"/>
    <mergeCell ref="A24:B24"/>
    <mergeCell ref="C24:D24"/>
    <mergeCell ref="M26:N26"/>
    <mergeCell ref="K24:L24"/>
    <mergeCell ref="A27:B27"/>
    <mergeCell ref="C27:D27"/>
    <mergeCell ref="E27:F27"/>
    <mergeCell ref="K27:L27"/>
    <mergeCell ref="M27:N27"/>
    <mergeCell ref="A26:B26"/>
    <mergeCell ref="C26:D26"/>
    <mergeCell ref="E26:F26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34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Alfredo Antonio Nicolau Macedo Cunha</cp:lastModifiedBy>
  <cp:lastPrinted>2019-12-11T18:37:43Z</cp:lastPrinted>
  <dcterms:created xsi:type="dcterms:W3CDTF">2017-11-22T13:14:51Z</dcterms:created>
  <dcterms:modified xsi:type="dcterms:W3CDTF">2020-01-14T13:30:02Z</dcterms:modified>
  <cp:category/>
  <cp:version/>
  <cp:contentType/>
  <cp:contentStatus/>
</cp:coreProperties>
</file>